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nko\Documents\Predict Analyt\Sheets for PA manuscript\"/>
    </mc:Choice>
  </mc:AlternateContent>
  <bookViews>
    <workbookView xWindow="0" yWindow="120" windowWidth="19152" windowHeight="8472" activeTab="7"/>
  </bookViews>
  <sheets>
    <sheet name="9.1.1-6" sheetId="1" r:id="rId1"/>
    <sheet name="9.1.7-8" sheetId="2" r:id="rId2"/>
    <sheet name="9.1.9-15" sheetId="11" r:id="rId3"/>
    <sheet name="9.1.14" sheetId="12" r:id="rId4"/>
    <sheet name="9.2.1-7" sheetId="4" r:id="rId5"/>
    <sheet name="9.2.2" sheetId="13" r:id="rId6"/>
    <sheet name="9.3.1-3" sheetId="8" r:id="rId7"/>
    <sheet name="9.4.1-5" sheetId="15" r:id="rId8"/>
  </sheets>
  <externalReferences>
    <externalReference r:id="rId9"/>
  </externalReferences>
  <definedNames>
    <definedName name="solver_adj" localSheetId="4" hidden="1">'9.2.1-7'!$J$1</definedName>
    <definedName name="solver_adj" localSheetId="6" hidden="1">'9.3.1-3'!$G$1:$G$2</definedName>
    <definedName name="solver_cvg" localSheetId="4" hidden="1">0.0001</definedName>
    <definedName name="solver_cvg" localSheetId="6" hidden="1">0.0001</definedName>
    <definedName name="solver_drv" localSheetId="4" hidden="1">1</definedName>
    <definedName name="solver_drv" localSheetId="6" hidden="1">1</definedName>
    <definedName name="solver_est" localSheetId="4" hidden="1">1</definedName>
    <definedName name="solver_est" localSheetId="6" hidden="1">1</definedName>
    <definedName name="solver_itr" localSheetId="4" hidden="1">100</definedName>
    <definedName name="solver_itr" localSheetId="6" hidden="1">100</definedName>
    <definedName name="solver_lhs1" localSheetId="4" hidden="1">'9.2.1-7'!$J$1</definedName>
    <definedName name="solver_lhs1" localSheetId="6" hidden="1">'9.3.1-3'!$G$1</definedName>
    <definedName name="solver_lhs2" localSheetId="4" hidden="1">'9.2.1-7'!$J$1</definedName>
    <definedName name="solver_lhs2" localSheetId="6" hidden="1">'9.3.1-3'!$G$2</definedName>
    <definedName name="solver_lhs3" localSheetId="6" hidden="1">'9.3.1-3'!$G$1</definedName>
    <definedName name="solver_lhs4" localSheetId="6" hidden="1">'9.3.1-3'!$G$3</definedName>
    <definedName name="solver_lin" localSheetId="4" hidden="1">2</definedName>
    <definedName name="solver_lin" localSheetId="6" hidden="1">2</definedName>
    <definedName name="solver_neg" localSheetId="4" hidden="1">2</definedName>
    <definedName name="solver_neg" localSheetId="6" hidden="1">2</definedName>
    <definedName name="solver_num" localSheetId="4" hidden="1">2</definedName>
    <definedName name="solver_num" localSheetId="6" hidden="1">4</definedName>
    <definedName name="solver_nwt" localSheetId="4" hidden="1">1</definedName>
    <definedName name="solver_nwt" localSheetId="6" hidden="1">1</definedName>
    <definedName name="solver_opt" localSheetId="4" hidden="1">'9.2.1-7'!$J$2</definedName>
    <definedName name="solver_opt" localSheetId="6" hidden="1">'9.3.1-3'!$G$3</definedName>
    <definedName name="solver_pre" localSheetId="4" hidden="1">0.000001</definedName>
    <definedName name="solver_pre" localSheetId="6" hidden="1">0.000001</definedName>
    <definedName name="solver_rel1" localSheetId="4" hidden="1">1</definedName>
    <definedName name="solver_rel1" localSheetId="6" hidden="1">1</definedName>
    <definedName name="solver_rel2" localSheetId="4" hidden="1">3</definedName>
    <definedName name="solver_rel2" localSheetId="6" hidden="1">1</definedName>
    <definedName name="solver_rel3" localSheetId="6" hidden="1">3</definedName>
    <definedName name="solver_rel4" localSheetId="6" hidden="1">3</definedName>
    <definedName name="solver_rhs1" localSheetId="4" hidden="1">1</definedName>
    <definedName name="solver_rhs1" localSheetId="6" hidden="1">1</definedName>
    <definedName name="solver_rhs2" localSheetId="4" hidden="1">0</definedName>
    <definedName name="solver_rhs2" localSheetId="6" hidden="1">1</definedName>
    <definedName name="solver_rhs3" localSheetId="6" hidden="1">0</definedName>
    <definedName name="solver_rhs4" localSheetId="6" hidden="1">0</definedName>
    <definedName name="solver_scl" localSheetId="4" hidden="1">2</definedName>
    <definedName name="solver_scl" localSheetId="6" hidden="1">2</definedName>
    <definedName name="solver_sho" localSheetId="4" hidden="1">2</definedName>
    <definedName name="solver_sho" localSheetId="6" hidden="1">2</definedName>
    <definedName name="solver_tim" localSheetId="4" hidden="1">100</definedName>
    <definedName name="solver_tim" localSheetId="6" hidden="1">100</definedName>
    <definedName name="solver_tol" localSheetId="4" hidden="1">0.05</definedName>
    <definedName name="solver_tol" localSheetId="6" hidden="1">0.05</definedName>
    <definedName name="solver_typ" localSheetId="4" hidden="1">2</definedName>
    <definedName name="solver_typ" localSheetId="6" hidden="1">2</definedName>
    <definedName name="solver_val" localSheetId="4" hidden="1">0</definedName>
    <definedName name="solver_val" localSheetId="6" hidden="1">0</definedName>
  </definedNames>
  <calcPr calcId="171027"/>
</workbook>
</file>

<file path=xl/calcChain.xml><?xml version="1.0" encoding="utf-8"?>
<calcChain xmlns="http://schemas.openxmlformats.org/spreadsheetml/2006/main">
  <c r="G73" i="15" l="1"/>
  <c r="H72" i="15" s="1"/>
  <c r="H69" i="15"/>
  <c r="H65" i="15"/>
  <c r="H63" i="15"/>
  <c r="G61" i="15"/>
  <c r="H59" i="15" s="1"/>
  <c r="H58" i="15"/>
  <c r="G49" i="15"/>
  <c r="H47" i="15" s="1"/>
  <c r="H45" i="15"/>
  <c r="H44" i="15"/>
  <c r="H41" i="15"/>
  <c r="G37" i="15"/>
  <c r="H34" i="15" s="1"/>
  <c r="B37" i="15"/>
  <c r="B49" i="15" s="1"/>
  <c r="B61" i="15" s="1"/>
  <c r="B73" i="15" s="1"/>
  <c r="B85" i="15" s="1"/>
  <c r="B36" i="15"/>
  <c r="B48" i="15" s="1"/>
  <c r="B60" i="15" s="1"/>
  <c r="B72" i="15" s="1"/>
  <c r="B84" i="15" s="1"/>
  <c r="B35" i="15"/>
  <c r="B47" i="15" s="1"/>
  <c r="B59" i="15" s="1"/>
  <c r="B71" i="15" s="1"/>
  <c r="B83" i="15" s="1"/>
  <c r="B34" i="15"/>
  <c r="B46" i="15" s="1"/>
  <c r="B58" i="15" s="1"/>
  <c r="B70" i="15" s="1"/>
  <c r="B82" i="15" s="1"/>
  <c r="B33" i="15"/>
  <c r="B45" i="15" s="1"/>
  <c r="B57" i="15" s="1"/>
  <c r="B69" i="15" s="1"/>
  <c r="B81" i="15" s="1"/>
  <c r="B32" i="15"/>
  <c r="B44" i="15" s="1"/>
  <c r="B56" i="15" s="1"/>
  <c r="B68" i="15" s="1"/>
  <c r="B80" i="15" s="1"/>
  <c r="B31" i="15"/>
  <c r="B43" i="15" s="1"/>
  <c r="B55" i="15" s="1"/>
  <c r="B67" i="15" s="1"/>
  <c r="B79" i="15" s="1"/>
  <c r="B30" i="15"/>
  <c r="B42" i="15" s="1"/>
  <c r="B54" i="15" s="1"/>
  <c r="B66" i="15" s="1"/>
  <c r="B78" i="15" s="1"/>
  <c r="B29" i="15"/>
  <c r="B41" i="15" s="1"/>
  <c r="B53" i="15" s="1"/>
  <c r="B65" i="15" s="1"/>
  <c r="B77" i="15" s="1"/>
  <c r="B28" i="15"/>
  <c r="B40" i="15" s="1"/>
  <c r="B52" i="15" s="1"/>
  <c r="B64" i="15" s="1"/>
  <c r="B76" i="15" s="1"/>
  <c r="B27" i="15"/>
  <c r="B39" i="15" s="1"/>
  <c r="B51" i="15" s="1"/>
  <c r="B63" i="15" s="1"/>
  <c r="B75" i="15" s="1"/>
  <c r="B26" i="15"/>
  <c r="B38" i="15" s="1"/>
  <c r="B50" i="15" s="1"/>
  <c r="B62" i="15" s="1"/>
  <c r="B74" i="15" s="1"/>
  <c r="G25" i="15"/>
  <c r="H24" i="15" s="1"/>
  <c r="F13" i="15"/>
  <c r="F13" i="15" a="1"/>
  <c r="E13" i="15"/>
  <c r="H57" i="15" l="1"/>
  <c r="H61" i="15"/>
  <c r="H50" i="15"/>
  <c r="H40" i="15"/>
  <c r="H53" i="15"/>
  <c r="H54" i="15"/>
  <c r="H38" i="15"/>
  <c r="H42" i="15"/>
  <c r="H46" i="15"/>
  <c r="H67" i="15"/>
  <c r="H71" i="15"/>
  <c r="H23" i="15"/>
  <c r="I11" i="15" s="1"/>
  <c r="H25" i="15"/>
  <c r="H37" i="15"/>
  <c r="H62" i="15"/>
  <c r="H66" i="15"/>
  <c r="H70" i="15"/>
  <c r="H17" i="15"/>
  <c r="H29" i="15"/>
  <c r="H28" i="15"/>
  <c r="H32" i="15"/>
  <c r="H36" i="15"/>
  <c r="H49" i="15"/>
  <c r="H21" i="15"/>
  <c r="H48" i="15"/>
  <c r="H15" i="15"/>
  <c r="H19" i="15"/>
  <c r="H14" i="15"/>
  <c r="H16" i="15"/>
  <c r="H18" i="15"/>
  <c r="H20" i="15"/>
  <c r="H22" i="15"/>
  <c r="I10" i="15" s="1"/>
  <c r="H27" i="15"/>
  <c r="H31" i="15"/>
  <c r="H35" i="15"/>
  <c r="H52" i="15"/>
  <c r="H56" i="15"/>
  <c r="H60" i="15"/>
  <c r="H73" i="15"/>
  <c r="H39" i="15"/>
  <c r="H43" i="15"/>
  <c r="H64" i="15"/>
  <c r="H68" i="15"/>
  <c r="H33" i="15"/>
  <c r="H26" i="15"/>
  <c r="H30" i="15"/>
  <c r="H51" i="15"/>
  <c r="H55" i="15"/>
  <c r="E23" i="1"/>
  <c r="C24" i="13"/>
  <c r="D24" i="13" s="1"/>
  <c r="C23" i="13"/>
  <c r="D23" i="13" s="1"/>
  <c r="C22" i="13"/>
  <c r="D22" i="13" s="1"/>
  <c r="C21" i="13"/>
  <c r="D21" i="13" s="1"/>
  <c r="C20" i="13"/>
  <c r="D20" i="13" s="1"/>
  <c r="C19" i="13"/>
  <c r="D19" i="13" s="1"/>
  <c r="D18" i="13"/>
  <c r="C18" i="13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D61" i="12"/>
  <c r="D60" i="12"/>
  <c r="D59" i="12"/>
  <c r="D58" i="12"/>
  <c r="D57" i="12"/>
  <c r="D56" i="12"/>
  <c r="D55" i="12"/>
  <c r="D54" i="12"/>
  <c r="D53" i="12"/>
  <c r="D52" i="12"/>
  <c r="D51" i="12"/>
  <c r="D50" i="12"/>
  <c r="D49" i="12"/>
  <c r="D48" i="12"/>
  <c r="E48" i="12" s="1"/>
  <c r="E75" i="12" s="1"/>
  <c r="D47" i="12"/>
  <c r="D46" i="12"/>
  <c r="E46" i="12" s="1"/>
  <c r="E73" i="12" s="1"/>
  <c r="D45" i="12"/>
  <c r="D44" i="12"/>
  <c r="E44" i="12" s="1"/>
  <c r="E71" i="12" s="1"/>
  <c r="D43" i="12"/>
  <c r="D42" i="12"/>
  <c r="E42" i="12" s="1"/>
  <c r="E69" i="12" s="1"/>
  <c r="D41" i="12"/>
  <c r="D40" i="12"/>
  <c r="E40" i="12" s="1"/>
  <c r="E67" i="12" s="1"/>
  <c r="D39" i="12"/>
  <c r="D38" i="12"/>
  <c r="E38" i="12" s="1"/>
  <c r="E65" i="12" s="1"/>
  <c r="D37" i="12"/>
  <c r="D36" i="12"/>
  <c r="E36" i="12" s="1"/>
  <c r="D75" i="12" s="1"/>
  <c r="D35" i="12"/>
  <c r="D34" i="12"/>
  <c r="E34" i="12" s="1"/>
  <c r="D73" i="12" s="1"/>
  <c r="D33" i="12"/>
  <c r="D32" i="12"/>
  <c r="E32" i="12" s="1"/>
  <c r="D71" i="12" s="1"/>
  <c r="D31" i="12"/>
  <c r="D30" i="12"/>
  <c r="E30" i="12" s="1"/>
  <c r="D69" i="12" s="1"/>
  <c r="D29" i="12"/>
  <c r="D28" i="12"/>
  <c r="E28" i="12" s="1"/>
  <c r="D67" i="12" s="1"/>
  <c r="D27" i="12"/>
  <c r="D26" i="12"/>
  <c r="E26" i="12" s="1"/>
  <c r="D65" i="12" s="1"/>
  <c r="D25" i="12"/>
  <c r="D24" i="12"/>
  <c r="E24" i="12" s="1"/>
  <c r="C75" i="12" s="1"/>
  <c r="D23" i="12"/>
  <c r="D22" i="12"/>
  <c r="E22" i="12" s="1"/>
  <c r="C73" i="12" s="1"/>
  <c r="D21" i="12"/>
  <c r="D20" i="12"/>
  <c r="E20" i="12" s="1"/>
  <c r="C71" i="12" s="1"/>
  <c r="D19" i="12"/>
  <c r="D18" i="12"/>
  <c r="E18" i="12" s="1"/>
  <c r="C69" i="12" s="1"/>
  <c r="D17" i="12"/>
  <c r="D16" i="12"/>
  <c r="E16" i="12" s="1"/>
  <c r="C67" i="12" s="1"/>
  <c r="D15" i="12"/>
  <c r="D14" i="12"/>
  <c r="E14" i="12" s="1"/>
  <c r="C65" i="12" s="1"/>
  <c r="D13" i="12"/>
  <c r="D12" i="12"/>
  <c r="E12" i="12" s="1"/>
  <c r="B75" i="12" s="1"/>
  <c r="D11" i="12"/>
  <c r="D10" i="12"/>
  <c r="E10" i="12" s="1"/>
  <c r="B73" i="12" s="1"/>
  <c r="D9" i="12"/>
  <c r="D8" i="12"/>
  <c r="E8" i="12" s="1"/>
  <c r="B71" i="12" s="1"/>
  <c r="D7" i="12"/>
  <c r="D6" i="12"/>
  <c r="E6" i="12" s="1"/>
  <c r="B69" i="12" s="1"/>
  <c r="D5" i="12"/>
  <c r="D4" i="12"/>
  <c r="E4" i="12" s="1"/>
  <c r="B67" i="12" s="1"/>
  <c r="D3" i="12"/>
  <c r="D2" i="12"/>
  <c r="E2" i="12" s="1"/>
  <c r="B65" i="12" s="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E49" i="11" s="1"/>
  <c r="E76" i="11" s="1"/>
  <c r="D48" i="11"/>
  <c r="E48" i="11" s="1"/>
  <c r="E75" i="11" s="1"/>
  <c r="D47" i="11"/>
  <c r="E47" i="11" s="1"/>
  <c r="E74" i="11" s="1"/>
  <c r="D46" i="11"/>
  <c r="E46" i="11" s="1"/>
  <c r="E73" i="11" s="1"/>
  <c r="D45" i="11"/>
  <c r="E45" i="11" s="1"/>
  <c r="E72" i="11" s="1"/>
  <c r="D44" i="11"/>
  <c r="E44" i="11" s="1"/>
  <c r="E71" i="11" s="1"/>
  <c r="D43" i="11"/>
  <c r="E43" i="11" s="1"/>
  <c r="E70" i="11" s="1"/>
  <c r="D42" i="11"/>
  <c r="E42" i="11" s="1"/>
  <c r="E69" i="11" s="1"/>
  <c r="D41" i="11"/>
  <c r="E41" i="11" s="1"/>
  <c r="E68" i="11" s="1"/>
  <c r="D40" i="11"/>
  <c r="E40" i="11" s="1"/>
  <c r="E67" i="11" s="1"/>
  <c r="D39" i="11"/>
  <c r="E39" i="11" s="1"/>
  <c r="E66" i="11" s="1"/>
  <c r="D38" i="11"/>
  <c r="E38" i="11" s="1"/>
  <c r="E65" i="11" s="1"/>
  <c r="D37" i="11"/>
  <c r="E37" i="11" s="1"/>
  <c r="D76" i="11" s="1"/>
  <c r="D36" i="11"/>
  <c r="E36" i="11" s="1"/>
  <c r="D75" i="11" s="1"/>
  <c r="D35" i="11"/>
  <c r="E35" i="11" s="1"/>
  <c r="D74" i="11" s="1"/>
  <c r="D34" i="11"/>
  <c r="E34" i="11" s="1"/>
  <c r="D73" i="11" s="1"/>
  <c r="D33" i="11"/>
  <c r="E33" i="11" s="1"/>
  <c r="D72" i="11" s="1"/>
  <c r="D32" i="11"/>
  <c r="E32" i="11" s="1"/>
  <c r="D71" i="11" s="1"/>
  <c r="D31" i="11"/>
  <c r="E31" i="11" s="1"/>
  <c r="D70" i="11" s="1"/>
  <c r="D30" i="11"/>
  <c r="E30" i="11" s="1"/>
  <c r="D69" i="11" s="1"/>
  <c r="D29" i="11"/>
  <c r="E29" i="11" s="1"/>
  <c r="D68" i="11" s="1"/>
  <c r="D28" i="11"/>
  <c r="E28" i="11" s="1"/>
  <c r="D67" i="11" s="1"/>
  <c r="D27" i="11"/>
  <c r="E27" i="11" s="1"/>
  <c r="D66" i="11" s="1"/>
  <c r="D26" i="11"/>
  <c r="E26" i="11" s="1"/>
  <c r="D65" i="11" s="1"/>
  <c r="D25" i="11"/>
  <c r="E25" i="11" s="1"/>
  <c r="C76" i="11" s="1"/>
  <c r="D24" i="11"/>
  <c r="E24" i="11" s="1"/>
  <c r="C75" i="11" s="1"/>
  <c r="D23" i="11"/>
  <c r="E23" i="11" s="1"/>
  <c r="C74" i="11" s="1"/>
  <c r="D22" i="11"/>
  <c r="E22" i="11" s="1"/>
  <c r="C73" i="11" s="1"/>
  <c r="D21" i="11"/>
  <c r="E21" i="11" s="1"/>
  <c r="C72" i="11" s="1"/>
  <c r="D20" i="11"/>
  <c r="E20" i="11" s="1"/>
  <c r="C71" i="11" s="1"/>
  <c r="D19" i="11"/>
  <c r="E19" i="11" s="1"/>
  <c r="C70" i="11" s="1"/>
  <c r="D18" i="11"/>
  <c r="E18" i="11" s="1"/>
  <c r="C69" i="11" s="1"/>
  <c r="D17" i="11"/>
  <c r="E17" i="11" s="1"/>
  <c r="C68" i="11" s="1"/>
  <c r="D16" i="11"/>
  <c r="E16" i="11" s="1"/>
  <c r="C67" i="11" s="1"/>
  <c r="D15" i="11"/>
  <c r="E15" i="11" s="1"/>
  <c r="C66" i="11" s="1"/>
  <c r="D14" i="11"/>
  <c r="E14" i="11" s="1"/>
  <c r="C65" i="11" s="1"/>
  <c r="D13" i="11"/>
  <c r="E13" i="11" s="1"/>
  <c r="B76" i="11" s="1"/>
  <c r="D12" i="11"/>
  <c r="E12" i="11" s="1"/>
  <c r="B75" i="11" s="1"/>
  <c r="F75" i="11" s="1"/>
  <c r="D11" i="11"/>
  <c r="E11" i="11" s="1"/>
  <c r="B74" i="11" s="1"/>
  <c r="F74" i="11" s="1"/>
  <c r="D10" i="11"/>
  <c r="E10" i="11" s="1"/>
  <c r="B73" i="11" s="1"/>
  <c r="F73" i="11" s="1"/>
  <c r="D9" i="11"/>
  <c r="E9" i="11" s="1"/>
  <c r="B72" i="11" s="1"/>
  <c r="D8" i="11"/>
  <c r="E8" i="11" s="1"/>
  <c r="B71" i="11" s="1"/>
  <c r="D7" i="11"/>
  <c r="E7" i="11" s="1"/>
  <c r="B70" i="11" s="1"/>
  <c r="D6" i="11"/>
  <c r="E6" i="11" s="1"/>
  <c r="B69" i="11" s="1"/>
  <c r="D5" i="11"/>
  <c r="E5" i="11" s="1"/>
  <c r="B68" i="11" s="1"/>
  <c r="D4" i="11"/>
  <c r="E4" i="11" s="1"/>
  <c r="B67" i="11" s="1"/>
  <c r="F67" i="11" s="1"/>
  <c r="D3" i="11"/>
  <c r="E3" i="11" s="1"/>
  <c r="B66" i="11" s="1"/>
  <c r="F66" i="11" s="1"/>
  <c r="D2" i="11"/>
  <c r="E2" i="11" s="1"/>
  <c r="B65" i="11" s="1"/>
  <c r="F65" i="11" s="1"/>
  <c r="C31" i="2"/>
  <c r="C3" i="2"/>
  <c r="D3" i="2" s="1"/>
  <c r="C4" i="2"/>
  <c r="D4" i="2" s="1"/>
  <c r="C5" i="2"/>
  <c r="D5" i="2" s="1"/>
  <c r="C6" i="2"/>
  <c r="D6" i="2" s="1"/>
  <c r="C7" i="2"/>
  <c r="D7" i="2" s="1"/>
  <c r="C8" i="2"/>
  <c r="D8" i="2" s="1"/>
  <c r="C9" i="2"/>
  <c r="D9" i="2" s="1"/>
  <c r="C10" i="2"/>
  <c r="D10" i="2" s="1"/>
  <c r="C11" i="2"/>
  <c r="D11" i="2" s="1"/>
  <c r="C12" i="2"/>
  <c r="D12" i="2" s="1"/>
  <c r="C13" i="2"/>
  <c r="D13" i="2" s="1"/>
  <c r="C14" i="2"/>
  <c r="D14" i="2" s="1"/>
  <c r="C15" i="2"/>
  <c r="D15" i="2" s="1"/>
  <c r="C16" i="2"/>
  <c r="D16" i="2" s="1"/>
  <c r="C17" i="2"/>
  <c r="D17" i="2" s="1"/>
  <c r="C18" i="2"/>
  <c r="D18" i="2" s="1"/>
  <c r="C19" i="2"/>
  <c r="D19" i="2" s="1"/>
  <c r="C20" i="2"/>
  <c r="D20" i="2" s="1"/>
  <c r="C21" i="2"/>
  <c r="D21" i="2" s="1"/>
  <c r="C22" i="2"/>
  <c r="D22" i="2" s="1"/>
  <c r="C23" i="2"/>
  <c r="D23" i="2" s="1"/>
  <c r="C24" i="2"/>
  <c r="D24" i="2" s="1"/>
  <c r="C25" i="2"/>
  <c r="C26" i="2"/>
  <c r="C27" i="2"/>
  <c r="C28" i="2"/>
  <c r="C29" i="2"/>
  <c r="C30" i="2"/>
  <c r="C2" i="2"/>
  <c r="D2" i="2" s="1"/>
  <c r="C3" i="1"/>
  <c r="D3" i="1" s="1"/>
  <c r="C4" i="1"/>
  <c r="D4" i="1" s="1"/>
  <c r="C5" i="1"/>
  <c r="D5" i="1" s="1"/>
  <c r="C6" i="1"/>
  <c r="D6" i="1" s="1"/>
  <c r="C7" i="1"/>
  <c r="D7" i="1" s="1"/>
  <c r="C8" i="1"/>
  <c r="D8" i="1" s="1"/>
  <c r="C9" i="1"/>
  <c r="D9" i="1" s="1"/>
  <c r="C10" i="1"/>
  <c r="D10" i="1" s="1"/>
  <c r="C11" i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" i="1"/>
  <c r="D2" i="1" s="1"/>
  <c r="D5" i="8"/>
  <c r="E5" i="8" s="1"/>
  <c r="D4" i="8"/>
  <c r="E4" i="8" s="1"/>
  <c r="D3" i="8"/>
  <c r="E3" i="8" s="1"/>
  <c r="D2" i="8"/>
  <c r="E2" i="8" s="1"/>
  <c r="C24" i="4"/>
  <c r="D24" i="4" s="1"/>
  <c r="C23" i="4"/>
  <c r="D23" i="4" s="1"/>
  <c r="C22" i="4"/>
  <c r="D22" i="4" s="1"/>
  <c r="C21" i="4"/>
  <c r="D21" i="4" s="1"/>
  <c r="C20" i="4"/>
  <c r="D20" i="4" s="1"/>
  <c r="C19" i="4"/>
  <c r="D19" i="4" s="1"/>
  <c r="C18" i="4"/>
  <c r="D18" i="4" s="1"/>
  <c r="C17" i="4"/>
  <c r="D17" i="4" s="1"/>
  <c r="C16" i="4"/>
  <c r="D16" i="4" s="1"/>
  <c r="C15" i="4"/>
  <c r="D15" i="4" s="1"/>
  <c r="C14" i="4"/>
  <c r="D14" i="4" s="1"/>
  <c r="C13" i="4"/>
  <c r="D13" i="4" s="1"/>
  <c r="C12" i="4"/>
  <c r="D12" i="4" s="1"/>
  <c r="C11" i="4"/>
  <c r="D11" i="4" s="1"/>
  <c r="C10" i="4"/>
  <c r="D10" i="4" s="1"/>
  <c r="C9" i="4"/>
  <c r="D9" i="4" s="1"/>
  <c r="C8" i="4"/>
  <c r="D8" i="4" s="1"/>
  <c r="C7" i="4"/>
  <c r="D7" i="4" s="1"/>
  <c r="C6" i="4"/>
  <c r="D6" i="4" s="1"/>
  <c r="C5" i="4"/>
  <c r="D5" i="4" s="1"/>
  <c r="I12" i="15" l="1"/>
  <c r="I13" i="15"/>
  <c r="I7" i="15"/>
  <c r="I2" i="15"/>
  <c r="E14" i="15" s="1"/>
  <c r="I14" i="15" s="1"/>
  <c r="I4" i="15"/>
  <c r="I3" i="15"/>
  <c r="I5" i="15"/>
  <c r="I9" i="15"/>
  <c r="I8" i="15"/>
  <c r="I6" i="15"/>
  <c r="E5" i="13"/>
  <c r="E6" i="4"/>
  <c r="F6" i="4" s="1"/>
  <c r="E5" i="4"/>
  <c r="F72" i="11"/>
  <c r="F70" i="11"/>
  <c r="F68" i="11"/>
  <c r="F76" i="11"/>
  <c r="E7" i="13"/>
  <c r="F7" i="13" s="1"/>
  <c r="F71" i="12"/>
  <c r="E8" i="13"/>
  <c r="F8" i="13" s="1"/>
  <c r="F69" i="12"/>
  <c r="F71" i="11"/>
  <c r="D6" i="8"/>
  <c r="E6" i="13"/>
  <c r="E10" i="13" s="1"/>
  <c r="F5" i="13"/>
  <c r="E9" i="13"/>
  <c r="E12" i="13"/>
  <c r="E7" i="4"/>
  <c r="E11" i="4" s="1"/>
  <c r="E8" i="4"/>
  <c r="F8" i="4" s="1"/>
  <c r="F67" i="12"/>
  <c r="F75" i="12"/>
  <c r="F65" i="12"/>
  <c r="F73" i="12"/>
  <c r="E3" i="12"/>
  <c r="B66" i="12" s="1"/>
  <c r="E5" i="12"/>
  <c r="B68" i="12" s="1"/>
  <c r="E7" i="12"/>
  <c r="B70" i="12" s="1"/>
  <c r="E9" i="12"/>
  <c r="B72" i="12" s="1"/>
  <c r="E11" i="12"/>
  <c r="B74" i="12" s="1"/>
  <c r="E13" i="12"/>
  <c r="B76" i="12" s="1"/>
  <c r="E15" i="12"/>
  <c r="C66" i="12" s="1"/>
  <c r="E17" i="12"/>
  <c r="C68" i="12" s="1"/>
  <c r="E19" i="12"/>
  <c r="C70" i="12" s="1"/>
  <c r="E21" i="12"/>
  <c r="C72" i="12" s="1"/>
  <c r="E23" i="12"/>
  <c r="C74" i="12" s="1"/>
  <c r="E25" i="12"/>
  <c r="C76" i="12" s="1"/>
  <c r="E27" i="12"/>
  <c r="D66" i="12" s="1"/>
  <c r="E29" i="12"/>
  <c r="D68" i="12" s="1"/>
  <c r="E31" i="12"/>
  <c r="D70" i="12" s="1"/>
  <c r="E33" i="12"/>
  <c r="D72" i="12" s="1"/>
  <c r="E35" i="12"/>
  <c r="D74" i="12" s="1"/>
  <c r="E37" i="12"/>
  <c r="D76" i="12" s="1"/>
  <c r="E39" i="12"/>
  <c r="E66" i="12" s="1"/>
  <c r="E41" i="12"/>
  <c r="E68" i="12" s="1"/>
  <c r="E43" i="12"/>
  <c r="E70" i="12" s="1"/>
  <c r="E45" i="12"/>
  <c r="E72" i="12" s="1"/>
  <c r="E47" i="12"/>
  <c r="E74" i="12" s="1"/>
  <c r="E49" i="12"/>
  <c r="E76" i="12" s="1"/>
  <c r="F69" i="11"/>
  <c r="E22" i="1"/>
  <c r="F22" i="1"/>
  <c r="E3" i="2"/>
  <c r="F3" i="2" s="1"/>
  <c r="E22" i="2"/>
  <c r="F22" i="2" s="1"/>
  <c r="E20" i="2"/>
  <c r="F20" i="2" s="1"/>
  <c r="E18" i="2"/>
  <c r="F18" i="2" s="1"/>
  <c r="E16" i="2"/>
  <c r="F16" i="2" s="1"/>
  <c r="E14" i="2"/>
  <c r="E12" i="2"/>
  <c r="G12" i="2" s="1"/>
  <c r="E10" i="2"/>
  <c r="F10" i="2" s="1"/>
  <c r="E8" i="2"/>
  <c r="F8" i="2" s="1"/>
  <c r="E6" i="2"/>
  <c r="F6" i="2" s="1"/>
  <c r="E4" i="2"/>
  <c r="F4" i="2" s="1"/>
  <c r="E23" i="2"/>
  <c r="E21" i="2"/>
  <c r="E19" i="2"/>
  <c r="E17" i="2"/>
  <c r="F14" i="2"/>
  <c r="E15" i="2"/>
  <c r="F12" i="2"/>
  <c r="E13" i="2"/>
  <c r="E11" i="2"/>
  <c r="E9" i="2"/>
  <c r="E7" i="2"/>
  <c r="E5" i="2"/>
  <c r="D7" i="8"/>
  <c r="F6" i="8"/>
  <c r="E6" i="8"/>
  <c r="E9" i="4"/>
  <c r="F5" i="4"/>
  <c r="E3" i="4"/>
  <c r="F3" i="4" s="1"/>
  <c r="F14" i="15" l="1"/>
  <c r="E15" i="15" s="1"/>
  <c r="E4" i="13"/>
  <c r="F4" i="13" s="1"/>
  <c r="E10" i="4"/>
  <c r="F10" i="4" s="1"/>
  <c r="E12" i="4"/>
  <c r="F77" i="11"/>
  <c r="F78" i="11" s="1"/>
  <c r="G71" i="11" s="1"/>
  <c r="G13" i="2"/>
  <c r="H13" i="2" s="1"/>
  <c r="E3" i="13"/>
  <c r="F3" i="13" s="1"/>
  <c r="G4" i="13" s="1"/>
  <c r="I4" i="13" s="1"/>
  <c r="E11" i="13"/>
  <c r="E15" i="13" s="1"/>
  <c r="F6" i="13"/>
  <c r="E14" i="13"/>
  <c r="F10" i="13"/>
  <c r="E16" i="13"/>
  <c r="F12" i="13"/>
  <c r="F11" i="13"/>
  <c r="F9" i="13"/>
  <c r="E13" i="13"/>
  <c r="E4" i="4"/>
  <c r="F4" i="4" s="1"/>
  <c r="F7" i="4"/>
  <c r="F74" i="12"/>
  <c r="F70" i="12"/>
  <c r="F66" i="12"/>
  <c r="F76" i="12"/>
  <c r="F72" i="12"/>
  <c r="F68" i="12"/>
  <c r="G73" i="11"/>
  <c r="H58" i="11" s="1"/>
  <c r="G11" i="2"/>
  <c r="G31" i="2"/>
  <c r="H31" i="2" s="1"/>
  <c r="F23" i="1"/>
  <c r="G25" i="2"/>
  <c r="H25" i="2" s="1"/>
  <c r="G5" i="2"/>
  <c r="H5" i="2" s="1"/>
  <c r="G27" i="2"/>
  <c r="H27" i="2" s="1"/>
  <c r="G7" i="2"/>
  <c r="G29" i="2"/>
  <c r="H29" i="2" s="1"/>
  <c r="G9" i="2"/>
  <c r="G15" i="2"/>
  <c r="G17" i="2"/>
  <c r="G19" i="2"/>
  <c r="H19" i="2" s="1"/>
  <c r="G21" i="2"/>
  <c r="G23" i="2"/>
  <c r="H23" i="2" s="1"/>
  <c r="F23" i="2"/>
  <c r="F5" i="2"/>
  <c r="F7" i="2"/>
  <c r="F9" i="2"/>
  <c r="F11" i="2"/>
  <c r="F13" i="2"/>
  <c r="F15" i="2"/>
  <c r="F17" i="2"/>
  <c r="F19" i="2"/>
  <c r="F21" i="2"/>
  <c r="G24" i="2"/>
  <c r="G4" i="2"/>
  <c r="G6" i="2"/>
  <c r="G26" i="2"/>
  <c r="G8" i="2"/>
  <c r="H8" i="2" s="1"/>
  <c r="G28" i="2"/>
  <c r="H28" i="2" s="1"/>
  <c r="G10" i="2"/>
  <c r="H10" i="2" s="1"/>
  <c r="G30" i="2"/>
  <c r="H30" i="2" s="1"/>
  <c r="G14" i="2"/>
  <c r="H14" i="2" s="1"/>
  <c r="G16" i="2"/>
  <c r="G18" i="2"/>
  <c r="G20" i="2"/>
  <c r="H20" i="2" s="1"/>
  <c r="G22" i="2"/>
  <c r="H22" i="2" s="1"/>
  <c r="G3" i="2"/>
  <c r="H7" i="2"/>
  <c r="E21" i="1"/>
  <c r="E20" i="1"/>
  <c r="E7" i="8"/>
  <c r="F7" i="8"/>
  <c r="D8" i="8"/>
  <c r="G3" i="4"/>
  <c r="I3" i="4" s="1"/>
  <c r="G4" i="4"/>
  <c r="I4" i="4" s="1"/>
  <c r="E13" i="4"/>
  <c r="F9" i="4"/>
  <c r="E15" i="4"/>
  <c r="F11" i="4"/>
  <c r="F12" i="4"/>
  <c r="E16" i="4"/>
  <c r="H16" i="2"/>
  <c r="H17" i="2"/>
  <c r="H4" i="2"/>
  <c r="E18" i="1"/>
  <c r="E16" i="1"/>
  <c r="E14" i="1"/>
  <c r="E12" i="1"/>
  <c r="G12" i="1" s="1"/>
  <c r="E10" i="1"/>
  <c r="G10" i="1" s="1"/>
  <c r="E8" i="1"/>
  <c r="G8" i="1" s="1"/>
  <c r="E6" i="1"/>
  <c r="E4" i="1"/>
  <c r="G4" i="1" s="1"/>
  <c r="E17" i="1"/>
  <c r="E13" i="1"/>
  <c r="G13" i="1" s="1"/>
  <c r="E9" i="1"/>
  <c r="E5" i="1"/>
  <c r="E19" i="1"/>
  <c r="G19" i="1" s="1"/>
  <c r="E15" i="1"/>
  <c r="E11" i="1"/>
  <c r="E7" i="1"/>
  <c r="E3" i="1"/>
  <c r="I15" i="15" l="1"/>
  <c r="F15" i="15"/>
  <c r="E16" i="15"/>
  <c r="F16" i="15" s="1"/>
  <c r="E17" i="15" s="1"/>
  <c r="I16" i="15"/>
  <c r="G3" i="13"/>
  <c r="I3" i="13" s="1"/>
  <c r="E14" i="4"/>
  <c r="H4" i="4"/>
  <c r="H3" i="4"/>
  <c r="G76" i="11"/>
  <c r="G70" i="11"/>
  <c r="H19" i="11" s="1"/>
  <c r="G75" i="11"/>
  <c r="E60" i="11" s="1"/>
  <c r="G66" i="11"/>
  <c r="E55" i="11"/>
  <c r="G69" i="11"/>
  <c r="F42" i="11" s="1"/>
  <c r="G42" i="11" s="1"/>
  <c r="G74" i="11"/>
  <c r="F11" i="11" s="1"/>
  <c r="G11" i="11" s="1"/>
  <c r="G68" i="11"/>
  <c r="F29" i="11" s="1"/>
  <c r="G29" i="11" s="1"/>
  <c r="H22" i="11"/>
  <c r="G72" i="11"/>
  <c r="E57" i="11" s="1"/>
  <c r="G65" i="11"/>
  <c r="F38" i="11" s="1"/>
  <c r="G38" i="11" s="1"/>
  <c r="G67" i="11"/>
  <c r="G11" i="1"/>
  <c r="G6" i="1"/>
  <c r="F22" i="11"/>
  <c r="G22" i="11" s="1"/>
  <c r="G15" i="1"/>
  <c r="F46" i="11"/>
  <c r="G46" i="11" s="1"/>
  <c r="G14" i="1"/>
  <c r="G3" i="1"/>
  <c r="G17" i="1"/>
  <c r="F19" i="11"/>
  <c r="G19" i="11" s="1"/>
  <c r="H3" i="13"/>
  <c r="H4" i="13"/>
  <c r="G5" i="13" s="1"/>
  <c r="I5" i="13" s="1"/>
  <c r="H5" i="13"/>
  <c r="G6" i="13" s="1"/>
  <c r="F13" i="13"/>
  <c r="E17" i="13"/>
  <c r="F15" i="13"/>
  <c r="E19" i="13"/>
  <c r="E20" i="13"/>
  <c r="F16" i="13"/>
  <c r="E18" i="13"/>
  <c r="F14" i="13"/>
  <c r="G5" i="4"/>
  <c r="I5" i="4" s="1"/>
  <c r="F77" i="12"/>
  <c r="F78" i="12" s="1"/>
  <c r="G66" i="12" s="1"/>
  <c r="H10" i="11"/>
  <c r="H34" i="11"/>
  <c r="F10" i="11"/>
  <c r="G10" i="11" s="1"/>
  <c r="F34" i="11"/>
  <c r="G34" i="11" s="1"/>
  <c r="E58" i="11"/>
  <c r="H46" i="11"/>
  <c r="H31" i="11"/>
  <c r="F7" i="11"/>
  <c r="G7" i="11" s="1"/>
  <c r="F31" i="11"/>
  <c r="G31" i="11" s="1"/>
  <c r="H43" i="11"/>
  <c r="F33" i="11"/>
  <c r="G33" i="11" s="1"/>
  <c r="H33" i="11"/>
  <c r="E56" i="11"/>
  <c r="F44" i="11"/>
  <c r="G44" i="11" s="1"/>
  <c r="F32" i="11"/>
  <c r="G32" i="11" s="1"/>
  <c r="F20" i="11"/>
  <c r="G20" i="11" s="1"/>
  <c r="F8" i="11"/>
  <c r="G8" i="11" s="1"/>
  <c r="H8" i="11"/>
  <c r="H20" i="11"/>
  <c r="H32" i="11"/>
  <c r="H44" i="11"/>
  <c r="H56" i="11"/>
  <c r="E50" i="11"/>
  <c r="F2" i="11"/>
  <c r="G2" i="11" s="1"/>
  <c r="F26" i="11"/>
  <c r="G26" i="11" s="1"/>
  <c r="F14" i="11"/>
  <c r="G14" i="11" s="1"/>
  <c r="H50" i="11"/>
  <c r="H14" i="11"/>
  <c r="H38" i="11"/>
  <c r="H2" i="11"/>
  <c r="F48" i="11"/>
  <c r="G48" i="11" s="1"/>
  <c r="H60" i="11"/>
  <c r="F49" i="11"/>
  <c r="G49" i="11" s="1"/>
  <c r="F37" i="11"/>
  <c r="G37" i="11" s="1"/>
  <c r="F25" i="11"/>
  <c r="G25" i="11" s="1"/>
  <c r="F13" i="11"/>
  <c r="G13" i="11" s="1"/>
  <c r="E61" i="11"/>
  <c r="H61" i="11"/>
  <c r="H13" i="11"/>
  <c r="H37" i="11"/>
  <c r="H25" i="11"/>
  <c r="H49" i="11"/>
  <c r="F27" i="11"/>
  <c r="G27" i="11" s="1"/>
  <c r="F15" i="11"/>
  <c r="G15" i="11" s="1"/>
  <c r="F3" i="11"/>
  <c r="G3" i="11" s="1"/>
  <c r="E51" i="11"/>
  <c r="H3" i="11"/>
  <c r="H51" i="11"/>
  <c r="F5" i="1"/>
  <c r="G5" i="1"/>
  <c r="F21" i="1"/>
  <c r="G21" i="1"/>
  <c r="G9" i="1"/>
  <c r="G7" i="1"/>
  <c r="G16" i="1"/>
  <c r="G20" i="1"/>
  <c r="G22" i="1"/>
  <c r="G23" i="1"/>
  <c r="G18" i="1"/>
  <c r="H26" i="2"/>
  <c r="H11" i="2"/>
  <c r="F15" i="1"/>
  <c r="F13" i="1"/>
  <c r="F12" i="1"/>
  <c r="F16" i="1"/>
  <c r="F19" i="1"/>
  <c r="F17" i="1"/>
  <c r="F14" i="1"/>
  <c r="F18" i="1"/>
  <c r="F20" i="1"/>
  <c r="F3" i="1"/>
  <c r="F11" i="1"/>
  <c r="F9" i="1"/>
  <c r="F6" i="1"/>
  <c r="F10" i="1"/>
  <c r="F4" i="1"/>
  <c r="F8" i="1"/>
  <c r="F7" i="1"/>
  <c r="F8" i="8"/>
  <c r="E8" i="8"/>
  <c r="D9" i="8"/>
  <c r="F16" i="4"/>
  <c r="E20" i="4"/>
  <c r="F14" i="4"/>
  <c r="E18" i="4"/>
  <c r="E19" i="4"/>
  <c r="F15" i="4"/>
  <c r="E17" i="4"/>
  <c r="F13" i="4"/>
  <c r="H24" i="2"/>
  <c r="H12" i="2"/>
  <c r="H18" i="2"/>
  <c r="H6" i="2"/>
  <c r="H15" i="2"/>
  <c r="H9" i="2"/>
  <c r="H21" i="2"/>
  <c r="H3" i="2"/>
  <c r="I17" i="15" l="1"/>
  <c r="F17" i="15"/>
  <c r="E18" i="15"/>
  <c r="G74" i="12"/>
  <c r="H29" i="11"/>
  <c r="H5" i="11"/>
  <c r="H53" i="11"/>
  <c r="F41" i="11"/>
  <c r="G41" i="11" s="1"/>
  <c r="H17" i="11"/>
  <c r="H7" i="11"/>
  <c r="H26" i="11"/>
  <c r="H55" i="11"/>
  <c r="H42" i="11"/>
  <c r="H30" i="11"/>
  <c r="H18" i="11"/>
  <c r="H6" i="11"/>
  <c r="F21" i="11"/>
  <c r="G21" i="11" s="1"/>
  <c r="H54" i="11"/>
  <c r="E54" i="11"/>
  <c r="F43" i="11"/>
  <c r="G43" i="11" s="1"/>
  <c r="H35" i="11"/>
  <c r="H23" i="11"/>
  <c r="F6" i="11"/>
  <c r="G6" i="11" s="1"/>
  <c r="H59" i="11"/>
  <c r="F23" i="11"/>
  <c r="G23" i="11" s="1"/>
  <c r="F18" i="11"/>
  <c r="G18" i="11" s="1"/>
  <c r="G77" i="11"/>
  <c r="H11" i="11"/>
  <c r="F35" i="11"/>
  <c r="G35" i="11" s="1"/>
  <c r="F30" i="11"/>
  <c r="G30" i="11" s="1"/>
  <c r="F9" i="11"/>
  <c r="G9" i="11" s="1"/>
  <c r="F47" i="11"/>
  <c r="G47" i="11" s="1"/>
  <c r="H48" i="11"/>
  <c r="H36" i="11"/>
  <c r="H9" i="11"/>
  <c r="F45" i="11"/>
  <c r="G45" i="11" s="1"/>
  <c r="H47" i="11"/>
  <c r="H27" i="11"/>
  <c r="F39" i="11"/>
  <c r="G39" i="11" s="1"/>
  <c r="E53" i="11"/>
  <c r="H24" i="11"/>
  <c r="H45" i="11"/>
  <c r="F5" i="11"/>
  <c r="G5" i="11" s="1"/>
  <c r="H21" i="11"/>
  <c r="E59" i="11"/>
  <c r="H39" i="11"/>
  <c r="F17" i="11"/>
  <c r="G17" i="11" s="1"/>
  <c r="F12" i="11"/>
  <c r="G12" i="11" s="1"/>
  <c r="H57" i="11"/>
  <c r="H16" i="11"/>
  <c r="E52" i="11"/>
  <c r="H52" i="11"/>
  <c r="F28" i="11"/>
  <c r="G28" i="11" s="1"/>
  <c r="F40" i="11"/>
  <c r="G40" i="11" s="1"/>
  <c r="H4" i="11"/>
  <c r="H28" i="11"/>
  <c r="F16" i="11"/>
  <c r="G16" i="11" s="1"/>
  <c r="F4" i="11"/>
  <c r="G4" i="11" s="1"/>
  <c r="H40" i="11"/>
  <c r="H12" i="11"/>
  <c r="H15" i="11"/>
  <c r="H41" i="11"/>
  <c r="F24" i="11"/>
  <c r="G24" i="11" s="1"/>
  <c r="F36" i="11"/>
  <c r="G36" i="11" s="1"/>
  <c r="G76" i="12"/>
  <c r="F37" i="12" s="1"/>
  <c r="G37" i="12" s="1"/>
  <c r="E22" i="13"/>
  <c r="F18" i="13"/>
  <c r="E24" i="13"/>
  <c r="F20" i="13"/>
  <c r="F19" i="13"/>
  <c r="E23" i="13"/>
  <c r="F17" i="13"/>
  <c r="E21" i="13"/>
  <c r="I6" i="13"/>
  <c r="H6" i="13"/>
  <c r="G7" i="13" s="1"/>
  <c r="H5" i="4"/>
  <c r="G6" i="4" s="1"/>
  <c r="H6" i="4" s="1"/>
  <c r="G7" i="4" s="1"/>
  <c r="F39" i="12"/>
  <c r="G39" i="12" s="1"/>
  <c r="F27" i="12"/>
  <c r="G27" i="12" s="1"/>
  <c r="F15" i="12"/>
  <c r="G15" i="12" s="1"/>
  <c r="F3" i="12"/>
  <c r="G3" i="12" s="1"/>
  <c r="E51" i="12"/>
  <c r="H3" i="12"/>
  <c r="H51" i="12"/>
  <c r="H15" i="12"/>
  <c r="H27" i="12"/>
  <c r="H39" i="12"/>
  <c r="G70" i="12"/>
  <c r="G68" i="12"/>
  <c r="G72" i="12"/>
  <c r="F49" i="12"/>
  <c r="G49" i="12" s="1"/>
  <c r="F13" i="12"/>
  <c r="G13" i="12" s="1"/>
  <c r="E61" i="12"/>
  <c r="H49" i="12"/>
  <c r="H61" i="12"/>
  <c r="H13" i="12"/>
  <c r="H25" i="12"/>
  <c r="H37" i="12"/>
  <c r="F47" i="12"/>
  <c r="G47" i="12" s="1"/>
  <c r="F35" i="12"/>
  <c r="G35" i="12" s="1"/>
  <c r="F23" i="12"/>
  <c r="G23" i="12" s="1"/>
  <c r="F11" i="12"/>
  <c r="G11" i="12" s="1"/>
  <c r="E59" i="12"/>
  <c r="H11" i="12"/>
  <c r="H59" i="12"/>
  <c r="H47" i="12"/>
  <c r="H23" i="12"/>
  <c r="H35" i="12"/>
  <c r="G71" i="12"/>
  <c r="G65" i="12"/>
  <c r="G69" i="12"/>
  <c r="G67" i="12"/>
  <c r="G75" i="12"/>
  <c r="G73" i="12"/>
  <c r="E9" i="8"/>
  <c r="F9" i="8"/>
  <c r="D10" i="8"/>
  <c r="E21" i="4"/>
  <c r="F17" i="4"/>
  <c r="E23" i="4"/>
  <c r="F19" i="4"/>
  <c r="F18" i="4"/>
  <c r="E22" i="4"/>
  <c r="F20" i="4"/>
  <c r="E24" i="4"/>
  <c r="I18" i="15" l="1"/>
  <c r="F18" i="15"/>
  <c r="E19" i="15"/>
  <c r="F25" i="12"/>
  <c r="G25" i="12" s="1"/>
  <c r="E28" i="13"/>
  <c r="E32" i="13" s="1"/>
  <c r="F24" i="13"/>
  <c r="E26" i="13"/>
  <c r="F22" i="13"/>
  <c r="I7" i="13"/>
  <c r="H7" i="13"/>
  <c r="G8" i="13" s="1"/>
  <c r="F21" i="13"/>
  <c r="E25" i="13"/>
  <c r="F23" i="13"/>
  <c r="E27" i="13"/>
  <c r="E31" i="13" s="1"/>
  <c r="I6" i="4"/>
  <c r="E52" i="12"/>
  <c r="F40" i="12"/>
  <c r="G40" i="12" s="1"/>
  <c r="F28" i="12"/>
  <c r="G28" i="12" s="1"/>
  <c r="F16" i="12"/>
  <c r="G16" i="12" s="1"/>
  <c r="F4" i="12"/>
  <c r="G4" i="12" s="1"/>
  <c r="H4" i="12"/>
  <c r="H16" i="12"/>
  <c r="H28" i="12"/>
  <c r="H40" i="12"/>
  <c r="H52" i="12"/>
  <c r="F45" i="12"/>
  <c r="G45" i="12" s="1"/>
  <c r="F33" i="12"/>
  <c r="G33" i="12" s="1"/>
  <c r="F21" i="12"/>
  <c r="G21" i="12" s="1"/>
  <c r="F9" i="12"/>
  <c r="G9" i="12" s="1"/>
  <c r="E57" i="12"/>
  <c r="H9" i="12"/>
  <c r="H57" i="12"/>
  <c r="H21" i="12"/>
  <c r="H33" i="12"/>
  <c r="H45" i="12"/>
  <c r="F43" i="12"/>
  <c r="G43" i="12" s="1"/>
  <c r="F31" i="12"/>
  <c r="G31" i="12" s="1"/>
  <c r="F19" i="12"/>
  <c r="G19" i="12" s="1"/>
  <c r="F7" i="12"/>
  <c r="G7" i="12" s="1"/>
  <c r="E55" i="12"/>
  <c r="H55" i="12"/>
  <c r="H43" i="12"/>
  <c r="H7" i="12"/>
  <c r="H19" i="12"/>
  <c r="H31" i="12"/>
  <c r="E58" i="12"/>
  <c r="F46" i="12"/>
  <c r="G46" i="12" s="1"/>
  <c r="F34" i="12"/>
  <c r="G34" i="12" s="1"/>
  <c r="F22" i="12"/>
  <c r="G22" i="12" s="1"/>
  <c r="F10" i="12"/>
  <c r="G10" i="12" s="1"/>
  <c r="H22" i="12"/>
  <c r="H34" i="12"/>
  <c r="H10" i="12"/>
  <c r="H58" i="12"/>
  <c r="H46" i="12"/>
  <c r="G77" i="12"/>
  <c r="E50" i="12"/>
  <c r="F38" i="12"/>
  <c r="G38" i="12" s="1"/>
  <c r="F26" i="12"/>
  <c r="G26" i="12" s="1"/>
  <c r="F14" i="12"/>
  <c r="G14" i="12" s="1"/>
  <c r="F2" i="12"/>
  <c r="G2" i="12" s="1"/>
  <c r="H14" i="12"/>
  <c r="H26" i="12"/>
  <c r="H38" i="12"/>
  <c r="H2" i="12"/>
  <c r="H50" i="12"/>
  <c r="E60" i="12"/>
  <c r="F48" i="12"/>
  <c r="G48" i="12" s="1"/>
  <c r="F36" i="12"/>
  <c r="G36" i="12" s="1"/>
  <c r="F24" i="12"/>
  <c r="G24" i="12" s="1"/>
  <c r="F12" i="12"/>
  <c r="G12" i="12" s="1"/>
  <c r="H48" i="12"/>
  <c r="H12" i="12"/>
  <c r="H24" i="12"/>
  <c r="H36" i="12"/>
  <c r="H60" i="12"/>
  <c r="E54" i="12"/>
  <c r="F42" i="12"/>
  <c r="G42" i="12" s="1"/>
  <c r="F30" i="12"/>
  <c r="G30" i="12" s="1"/>
  <c r="F18" i="12"/>
  <c r="G18" i="12" s="1"/>
  <c r="F6" i="12"/>
  <c r="G6" i="12" s="1"/>
  <c r="H6" i="12"/>
  <c r="H18" i="12"/>
  <c r="H30" i="12"/>
  <c r="H54" i="12"/>
  <c r="H42" i="12"/>
  <c r="E56" i="12"/>
  <c r="F44" i="12"/>
  <c r="G44" i="12" s="1"/>
  <c r="F32" i="12"/>
  <c r="G32" i="12" s="1"/>
  <c r="F20" i="12"/>
  <c r="G20" i="12" s="1"/>
  <c r="F8" i="12"/>
  <c r="G8" i="12" s="1"/>
  <c r="H20" i="12"/>
  <c r="H32" i="12"/>
  <c r="H56" i="12"/>
  <c r="H8" i="12"/>
  <c r="H44" i="12"/>
  <c r="F41" i="12"/>
  <c r="G41" i="12" s="1"/>
  <c r="F29" i="12"/>
  <c r="G29" i="12" s="1"/>
  <c r="F17" i="12"/>
  <c r="G17" i="12" s="1"/>
  <c r="F5" i="12"/>
  <c r="G5" i="12" s="1"/>
  <c r="E53" i="12"/>
  <c r="H53" i="12"/>
  <c r="H5" i="12"/>
  <c r="H17" i="12"/>
  <c r="H29" i="12"/>
  <c r="H41" i="12"/>
  <c r="F10" i="8"/>
  <c r="E10" i="8"/>
  <c r="D11" i="8"/>
  <c r="E27" i="4"/>
  <c r="E31" i="4" s="1"/>
  <c r="F23" i="4"/>
  <c r="E25" i="4"/>
  <c r="F21" i="4"/>
  <c r="I7" i="4"/>
  <c r="H7" i="4"/>
  <c r="G8" i="4" s="1"/>
  <c r="F24" i="4"/>
  <c r="E28" i="4"/>
  <c r="E32" i="4" s="1"/>
  <c r="F22" i="4"/>
  <c r="E26" i="4"/>
  <c r="I19" i="15" l="1"/>
  <c r="F19" i="15"/>
  <c r="E20" i="15"/>
  <c r="F25" i="13"/>
  <c r="E29" i="13"/>
  <c r="E33" i="13" s="1"/>
  <c r="I8" i="13"/>
  <c r="H8" i="13"/>
  <c r="G9" i="13" s="1"/>
  <c r="E30" i="13"/>
  <c r="E34" i="13" s="1"/>
  <c r="F26" i="13"/>
  <c r="E11" i="8"/>
  <c r="F11" i="8"/>
  <c r="D12" i="8"/>
  <c r="I8" i="4"/>
  <c r="H8" i="4"/>
  <c r="G9" i="4" s="1"/>
  <c r="E29" i="4"/>
  <c r="E33" i="4" s="1"/>
  <c r="F25" i="4"/>
  <c r="F26" i="4"/>
  <c r="E30" i="4"/>
  <c r="E34" i="4" s="1"/>
  <c r="I20" i="15" l="1"/>
  <c r="F20" i="15"/>
  <c r="E21" i="15"/>
  <c r="I9" i="13"/>
  <c r="H9" i="13"/>
  <c r="G10" i="13" s="1"/>
  <c r="F12" i="8"/>
  <c r="E12" i="8"/>
  <c r="D13" i="8"/>
  <c r="I9" i="4"/>
  <c r="H9" i="4"/>
  <c r="G10" i="4" s="1"/>
  <c r="I21" i="15" l="1"/>
  <c r="F21" i="15"/>
  <c r="E22" i="15"/>
  <c r="I10" i="13"/>
  <c r="H10" i="13"/>
  <c r="G11" i="13" s="1"/>
  <c r="E13" i="8"/>
  <c r="F13" i="8"/>
  <c r="D14" i="8"/>
  <c r="I10" i="4"/>
  <c r="H10" i="4"/>
  <c r="G11" i="4" s="1"/>
  <c r="I22" i="15" l="1"/>
  <c r="F22" i="15"/>
  <c r="E23" i="15"/>
  <c r="I11" i="13"/>
  <c r="H11" i="13"/>
  <c r="G12" i="13" s="1"/>
  <c r="F14" i="8"/>
  <c r="E14" i="8"/>
  <c r="D15" i="8"/>
  <c r="I11" i="4"/>
  <c r="H11" i="4"/>
  <c r="G12" i="4" s="1"/>
  <c r="I23" i="15" l="1"/>
  <c r="F23" i="15"/>
  <c r="E24" i="15"/>
  <c r="I12" i="13"/>
  <c r="H12" i="13"/>
  <c r="G13" i="13" s="1"/>
  <c r="E15" i="8"/>
  <c r="F15" i="8"/>
  <c r="D16" i="8"/>
  <c r="I12" i="4"/>
  <c r="H12" i="4"/>
  <c r="G13" i="4" s="1"/>
  <c r="I24" i="15" l="1"/>
  <c r="F24" i="15"/>
  <c r="E25" i="15" s="1"/>
  <c r="I13" i="13"/>
  <c r="H13" i="13"/>
  <c r="G14" i="13" s="1"/>
  <c r="F16" i="8"/>
  <c r="E16" i="8"/>
  <c r="D17" i="8"/>
  <c r="I13" i="4"/>
  <c r="H13" i="4"/>
  <c r="G14" i="4" s="1"/>
  <c r="I25" i="15" l="1"/>
  <c r="F25" i="15"/>
  <c r="J26" i="15" s="1"/>
  <c r="I14" i="13"/>
  <c r="H14" i="13"/>
  <c r="G15" i="13" s="1"/>
  <c r="E17" i="8"/>
  <c r="F17" i="8"/>
  <c r="D18" i="8"/>
  <c r="I14" i="4"/>
  <c r="H14" i="4"/>
  <c r="G15" i="4" s="1"/>
  <c r="E26" i="15" l="1"/>
  <c r="I15" i="13"/>
  <c r="H15" i="13"/>
  <c r="G16" i="13" s="1"/>
  <c r="F18" i="8"/>
  <c r="E18" i="8"/>
  <c r="D19" i="8"/>
  <c r="I15" i="4"/>
  <c r="H15" i="4"/>
  <c r="G16" i="4" s="1"/>
  <c r="F26" i="15" l="1"/>
  <c r="J27" i="15" s="1"/>
  <c r="I26" i="15"/>
  <c r="E27" i="15"/>
  <c r="I16" i="13"/>
  <c r="H16" i="13"/>
  <c r="G17" i="13" s="1"/>
  <c r="E19" i="8"/>
  <c r="F19" i="8"/>
  <c r="D20" i="8"/>
  <c r="I16" i="4"/>
  <c r="H16" i="4"/>
  <c r="G17" i="4" s="1"/>
  <c r="I27" i="15" l="1"/>
  <c r="F27" i="15"/>
  <c r="J28" i="15" s="1"/>
  <c r="E28" i="15"/>
  <c r="I17" i="13"/>
  <c r="H17" i="13"/>
  <c r="G18" i="13" s="1"/>
  <c r="F20" i="8"/>
  <c r="E20" i="8"/>
  <c r="D21" i="8"/>
  <c r="I17" i="4"/>
  <c r="H17" i="4"/>
  <c r="G18" i="4" s="1"/>
  <c r="I28" i="15" l="1"/>
  <c r="F28" i="15"/>
  <c r="E29" i="15" s="1"/>
  <c r="I18" i="13"/>
  <c r="H18" i="13"/>
  <c r="G19" i="13" s="1"/>
  <c r="E21" i="8"/>
  <c r="F21" i="8"/>
  <c r="D22" i="8"/>
  <c r="I18" i="4"/>
  <c r="H18" i="4"/>
  <c r="G19" i="4" s="1"/>
  <c r="I29" i="15" l="1"/>
  <c r="F29" i="15"/>
  <c r="J30" i="15" s="1"/>
  <c r="J29" i="15"/>
  <c r="I19" i="13"/>
  <c r="H19" i="13"/>
  <c r="G20" i="13" s="1"/>
  <c r="F22" i="8"/>
  <c r="E22" i="8"/>
  <c r="D23" i="8"/>
  <c r="I19" i="4"/>
  <c r="H19" i="4"/>
  <c r="G20" i="4" s="1"/>
  <c r="E30" i="15" l="1"/>
  <c r="F30" i="15" s="1"/>
  <c r="E31" i="15" s="1"/>
  <c r="I20" i="13"/>
  <c r="H20" i="13"/>
  <c r="G21" i="13" s="1"/>
  <c r="E23" i="8"/>
  <c r="F23" i="8"/>
  <c r="D24" i="8"/>
  <c r="I20" i="4"/>
  <c r="H20" i="4"/>
  <c r="G21" i="4" s="1"/>
  <c r="I30" i="15" l="1"/>
  <c r="I31" i="15"/>
  <c r="F31" i="15"/>
  <c r="J32" i="15" s="1"/>
  <c r="E32" i="15"/>
  <c r="J31" i="15"/>
  <c r="I21" i="13"/>
  <c r="H21" i="13"/>
  <c r="G22" i="13" s="1"/>
  <c r="F24" i="8"/>
  <c r="E24" i="8"/>
  <c r="D25" i="8"/>
  <c r="I21" i="4"/>
  <c r="H21" i="4"/>
  <c r="G22" i="4" s="1"/>
  <c r="I32" i="15" l="1"/>
  <c r="F32" i="15"/>
  <c r="J33" i="15" s="1"/>
  <c r="E33" i="15"/>
  <c r="I22" i="13"/>
  <c r="H22" i="13"/>
  <c r="G23" i="13" s="1"/>
  <c r="F28" i="8"/>
  <c r="F26" i="8"/>
  <c r="E25" i="8"/>
  <c r="F29" i="8"/>
  <c r="F27" i="8"/>
  <c r="F25" i="8"/>
  <c r="G3" i="8" s="1"/>
  <c r="I22" i="4"/>
  <c r="H22" i="4"/>
  <c r="G23" i="4" s="1"/>
  <c r="I33" i="15" l="1"/>
  <c r="F33" i="15"/>
  <c r="J34" i="15" s="1"/>
  <c r="E34" i="15"/>
  <c r="F27" i="13"/>
  <c r="I23" i="13"/>
  <c r="H23" i="13"/>
  <c r="G24" i="13" s="1"/>
  <c r="I23" i="4"/>
  <c r="F27" i="4"/>
  <c r="H23" i="4"/>
  <c r="G24" i="4" s="1"/>
  <c r="F34" i="15" l="1"/>
  <c r="J35" i="15" s="1"/>
  <c r="I34" i="15"/>
  <c r="I24" i="13"/>
  <c r="F28" i="13"/>
  <c r="H24" i="13"/>
  <c r="G25" i="13" s="1"/>
  <c r="F28" i="4"/>
  <c r="I24" i="4"/>
  <c r="H24" i="4"/>
  <c r="G25" i="4" s="1"/>
  <c r="E35" i="15" l="1"/>
  <c r="F29" i="13"/>
  <c r="I25" i="13"/>
  <c r="H25" i="13"/>
  <c r="G26" i="13" s="1"/>
  <c r="I25" i="4"/>
  <c r="F29" i="4"/>
  <c r="H25" i="4"/>
  <c r="G26" i="4" s="1"/>
  <c r="I35" i="15" l="1"/>
  <c r="F35" i="15"/>
  <c r="J36" i="15" s="1"/>
  <c r="E36" i="15"/>
  <c r="I26" i="13"/>
  <c r="J2" i="13" s="1"/>
  <c r="F30" i="13"/>
  <c r="H26" i="13"/>
  <c r="G27" i="13" s="1"/>
  <c r="F30" i="4"/>
  <c r="I26" i="4"/>
  <c r="J2" i="4" s="1"/>
  <c r="H26" i="4"/>
  <c r="G27" i="4" s="1"/>
  <c r="I36" i="15" l="1"/>
  <c r="F36" i="15"/>
  <c r="J37" i="15" s="1"/>
  <c r="F31" i="13"/>
  <c r="I27" i="13"/>
  <c r="H27" i="13"/>
  <c r="G28" i="13" s="1"/>
  <c r="I27" i="4"/>
  <c r="F31" i="4"/>
  <c r="H27" i="4"/>
  <c r="G28" i="4" s="1"/>
  <c r="E37" i="15" l="1"/>
  <c r="I28" i="13"/>
  <c r="F32" i="13"/>
  <c r="H28" i="13"/>
  <c r="G29" i="13" s="1"/>
  <c r="F32" i="4"/>
  <c r="I28" i="4"/>
  <c r="H28" i="4"/>
  <c r="G29" i="4" s="1"/>
  <c r="I37" i="15" l="1"/>
  <c r="F37" i="15"/>
  <c r="J38" i="15" s="1"/>
  <c r="I29" i="13"/>
  <c r="H29" i="13"/>
  <c r="G30" i="13" s="1"/>
  <c r="I29" i="4"/>
  <c r="H29" i="4"/>
  <c r="G30" i="4" s="1"/>
  <c r="E38" i="15" l="1"/>
  <c r="I30" i="13"/>
  <c r="H30" i="13"/>
  <c r="G31" i="13" s="1"/>
  <c r="I30" i="4"/>
  <c r="H30" i="4"/>
  <c r="G31" i="4" s="1"/>
  <c r="F38" i="15" l="1"/>
  <c r="E39" i="15" s="1"/>
  <c r="I38" i="15"/>
  <c r="I31" i="13"/>
  <c r="H31" i="13"/>
  <c r="G32" i="13" s="1"/>
  <c r="I31" i="4"/>
  <c r="H31" i="4"/>
  <c r="G32" i="4" s="1"/>
  <c r="I39" i="15" l="1"/>
  <c r="F39" i="15"/>
  <c r="J40" i="15" s="1"/>
  <c r="J39" i="15"/>
  <c r="I32" i="13"/>
  <c r="H32" i="13"/>
  <c r="G33" i="13" s="1"/>
  <c r="I32" i="4"/>
  <c r="H32" i="4"/>
  <c r="G33" i="4" s="1"/>
  <c r="E40" i="15" l="1"/>
  <c r="F33" i="13"/>
  <c r="I33" i="13"/>
  <c r="I33" i="4"/>
  <c r="F33" i="4"/>
  <c r="I40" i="15" l="1"/>
  <c r="F40" i="15"/>
  <c r="J41" i="15" s="1"/>
  <c r="H33" i="13"/>
  <c r="G34" i="13" s="1"/>
  <c r="H33" i="4"/>
  <c r="G34" i="4" s="1"/>
  <c r="E41" i="15" l="1"/>
  <c r="I34" i="13"/>
  <c r="F34" i="13"/>
  <c r="H34" i="13" s="1"/>
  <c r="F34" i="4"/>
  <c r="H34" i="4" s="1"/>
  <c r="I34" i="4"/>
  <c r="F41" i="15" l="1"/>
  <c r="J42" i="15" s="1"/>
  <c r="I41" i="15"/>
  <c r="E42" i="15" l="1"/>
  <c r="F42" i="15"/>
  <c r="J43" i="15" s="1"/>
  <c r="I42" i="15"/>
  <c r="E43" i="15"/>
  <c r="I43" i="15" l="1"/>
  <c r="F43" i="15"/>
  <c r="J44" i="15" s="1"/>
  <c r="E44" i="15" l="1"/>
  <c r="I44" i="15" l="1"/>
  <c r="F44" i="15"/>
  <c r="J45" i="15" s="1"/>
  <c r="E45" i="15"/>
  <c r="F45" i="15" l="1"/>
  <c r="J46" i="15" s="1"/>
  <c r="I45" i="15"/>
  <c r="E46" i="15" l="1"/>
  <c r="F46" i="15" l="1"/>
  <c r="J47" i="15" s="1"/>
  <c r="I46" i="15"/>
  <c r="E47" i="15" l="1"/>
  <c r="I47" i="15" l="1"/>
  <c r="F47" i="15"/>
  <c r="J48" i="15" s="1"/>
  <c r="E48" i="15"/>
  <c r="I48" i="15" l="1"/>
  <c r="F48" i="15"/>
  <c r="J49" i="15" s="1"/>
  <c r="E49" i="15" l="1"/>
  <c r="F49" i="15" l="1"/>
  <c r="J50" i="15" s="1"/>
  <c r="I49" i="15"/>
  <c r="E50" i="15" l="1"/>
  <c r="I50" i="15" s="1"/>
  <c r="F50" i="15"/>
  <c r="J51" i="15" s="1"/>
  <c r="E51" i="15" l="1"/>
  <c r="F51" i="15" l="1"/>
  <c r="J52" i="15" s="1"/>
  <c r="I51" i="15"/>
  <c r="E52" i="15" l="1"/>
  <c r="I52" i="15" s="1"/>
  <c r="F52" i="15"/>
  <c r="J53" i="15" s="1"/>
  <c r="E53" i="15" l="1"/>
  <c r="I53" i="15"/>
  <c r="F53" i="15"/>
  <c r="J54" i="15" s="1"/>
  <c r="E54" i="15" l="1"/>
  <c r="I54" i="15" l="1"/>
  <c r="F54" i="15"/>
  <c r="J55" i="15" s="1"/>
  <c r="E55" i="15"/>
  <c r="F55" i="15" l="1"/>
  <c r="J56" i="15" s="1"/>
  <c r="I55" i="15"/>
  <c r="E56" i="15" l="1"/>
  <c r="I56" i="15" s="1"/>
  <c r="F56" i="15" l="1"/>
  <c r="J57" i="15" s="1"/>
  <c r="E57" i="15"/>
  <c r="I57" i="15" l="1"/>
  <c r="F57" i="15"/>
  <c r="J58" i="15" s="1"/>
  <c r="E58" i="15" l="1"/>
  <c r="I58" i="15" l="1"/>
  <c r="F58" i="15"/>
  <c r="J59" i="15" s="1"/>
  <c r="E59" i="15"/>
  <c r="F59" i="15" l="1"/>
  <c r="J60" i="15" s="1"/>
  <c r="I59" i="15"/>
  <c r="E60" i="15"/>
  <c r="I60" i="15" l="1"/>
  <c r="F60" i="15"/>
  <c r="J61" i="15" s="1"/>
  <c r="E61" i="15" l="1"/>
  <c r="I61" i="15" l="1"/>
  <c r="F61" i="15"/>
  <c r="J62" i="15" s="1"/>
  <c r="E62" i="15" l="1"/>
  <c r="F62" i="15" s="1"/>
  <c r="I62" i="15"/>
  <c r="J63" i="15" l="1"/>
  <c r="E63" i="15"/>
  <c r="F63" i="15"/>
  <c r="I63" i="15"/>
  <c r="J64" i="15"/>
  <c r="E64" i="15"/>
  <c r="I64" i="15" l="1"/>
  <c r="F64" i="15"/>
  <c r="J65" i="15" s="1"/>
  <c r="E65" i="15"/>
  <c r="I65" i="15" l="1"/>
  <c r="F65" i="15"/>
  <c r="J66" i="15" s="1"/>
  <c r="E66" i="15"/>
  <c r="F66" i="15" l="1"/>
  <c r="J67" i="15" s="1"/>
  <c r="I66" i="15"/>
  <c r="E67" i="15" l="1"/>
  <c r="F67" i="15" s="1"/>
  <c r="J68" i="15" l="1"/>
  <c r="I67" i="15"/>
  <c r="E68" i="15"/>
  <c r="I68" i="15"/>
  <c r="F68" i="15"/>
  <c r="J69" i="15" s="1"/>
  <c r="E69" i="15" l="1"/>
  <c r="I69" i="15" l="1"/>
  <c r="F69" i="15"/>
  <c r="J70" i="15" s="1"/>
  <c r="E70" i="15" l="1"/>
  <c r="F70" i="15" l="1"/>
  <c r="J71" i="15" s="1"/>
  <c r="I70" i="15"/>
  <c r="E71" i="15" l="1"/>
  <c r="F71" i="15" s="1"/>
  <c r="E72" i="15" s="1"/>
  <c r="I71" i="15" l="1"/>
  <c r="I72" i="15"/>
  <c r="F72" i="15"/>
  <c r="J73" i="15" s="1"/>
  <c r="E73" i="15"/>
  <c r="J72" i="15"/>
  <c r="M5" i="15" l="1"/>
  <c r="M7" i="15" a="1"/>
  <c r="M7" i="15" s="1"/>
  <c r="M9" i="15"/>
  <c r="M10" i="15" s="1"/>
  <c r="M8" i="15" a="1"/>
  <c r="M8" i="15" s="1"/>
  <c r="M11" i="15"/>
  <c r="M6" i="15" a="1"/>
  <c r="M6" i="15" s="1"/>
  <c r="I73" i="15"/>
  <c r="F73" i="15"/>
  <c r="J75" i="15" s="1"/>
  <c r="J74" i="15"/>
  <c r="J80" i="15" l="1"/>
  <c r="J82" i="15"/>
  <c r="J76" i="15"/>
  <c r="J79" i="15"/>
  <c r="J77" i="15"/>
  <c r="J83" i="15"/>
  <c r="J81" i="15"/>
  <c r="J78" i="15"/>
  <c r="J85" i="15"/>
  <c r="J84" i="15"/>
</calcChain>
</file>

<file path=xl/sharedStrings.xml><?xml version="1.0" encoding="utf-8"?>
<sst xmlns="http://schemas.openxmlformats.org/spreadsheetml/2006/main" count="471" uniqueCount="127">
  <si>
    <t xml:space="preserve">PERIOD </t>
  </si>
  <si>
    <t xml:space="preserve">SERIES </t>
  </si>
  <si>
    <t>T</t>
  </si>
  <si>
    <t>C*I</t>
  </si>
  <si>
    <t>I</t>
  </si>
  <si>
    <t>Typ. C</t>
  </si>
  <si>
    <t>Recomposit.</t>
  </si>
  <si>
    <t>TIME</t>
  </si>
  <si>
    <t>PERIOD</t>
  </si>
  <si>
    <t>SERIES</t>
  </si>
  <si>
    <t>TREND</t>
  </si>
  <si>
    <t>INDEX</t>
  </si>
  <si>
    <t>DESEASONAL</t>
  </si>
  <si>
    <t>RESIDUAL</t>
  </si>
  <si>
    <t>RECOMP</t>
  </si>
  <si>
    <t>FORECAST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</si>
  <si>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</si>
  <si>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</si>
  <si>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</si>
  <si>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</si>
  <si>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</si>
  <si>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</si>
  <si>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</si>
  <si>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</si>
  <si>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</si>
  <si>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</si>
  <si>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</si>
  <si>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 2002.</t>
  </si>
  <si>
    <t>Jan 2003.</t>
  </si>
  <si>
    <t>Jan 2004.</t>
  </si>
  <si>
    <t>Jan 2005.</t>
  </si>
  <si>
    <t>YE</t>
  </si>
  <si>
    <t>AR</t>
  </si>
  <si>
    <t>Sesonal</t>
  </si>
  <si>
    <t>Month</t>
  </si>
  <si>
    <t>Average</t>
  </si>
  <si>
    <t>Indices</t>
  </si>
  <si>
    <t>Jan</t>
  </si>
  <si>
    <t>SUM</t>
  </si>
  <si>
    <t>Period</t>
  </si>
  <si>
    <t>Time</t>
  </si>
  <si>
    <t>Centered</t>
  </si>
  <si>
    <t>Ratio</t>
  </si>
  <si>
    <t>Seasonal</t>
  </si>
  <si>
    <t>Seasonally</t>
  </si>
  <si>
    <t>DES</t>
  </si>
  <si>
    <t>Reseasonalized</t>
  </si>
  <si>
    <t>=Alpha</t>
  </si>
  <si>
    <t>series</t>
  </si>
  <si>
    <t>MA</t>
  </si>
  <si>
    <t>to MA</t>
  </si>
  <si>
    <t>Index</t>
  </si>
  <si>
    <t>Adjusted Data</t>
  </si>
  <si>
    <t>Forecast</t>
  </si>
  <si>
    <t>Error</t>
  </si>
  <si>
    <t>=MSE</t>
  </si>
  <si>
    <t>Q1</t>
  </si>
  <si>
    <t>Q2</t>
  </si>
  <si>
    <t>Q3</t>
  </si>
  <si>
    <t>Q4</t>
  </si>
  <si>
    <t xml:space="preserve"> </t>
  </si>
  <si>
    <t>Quarter</t>
  </si>
  <si>
    <t>Series</t>
  </si>
  <si>
    <r>
      <t>a</t>
    </r>
    <r>
      <rPr>
        <b/>
        <vertAlign val="subscript"/>
        <sz val="10"/>
        <rFont val="Arial"/>
        <family val="2"/>
      </rPr>
      <t>t</t>
    </r>
  </si>
  <si>
    <r>
      <t>S</t>
    </r>
    <r>
      <rPr>
        <b/>
        <vertAlign val="subscript"/>
        <sz val="10"/>
        <rFont val="Arial"/>
        <family val="2"/>
      </rPr>
      <t>t</t>
    </r>
  </si>
  <si>
    <t>Seas. Forec.</t>
  </si>
  <si>
    <t>=alpha</t>
  </si>
  <si>
    <t>Seasonal Method</t>
  </si>
  <si>
    <t>=delta</t>
  </si>
  <si>
    <t>H-W Forec.</t>
  </si>
  <si>
    <t>=beta</t>
  </si>
  <si>
    <t>=gamma</t>
  </si>
  <si>
    <t>C</t>
  </si>
  <si>
    <t>Gross Fixed Capital Formation; Business Investment GBP mill (1983-2005)</t>
  </si>
  <si>
    <t>Jan 2006.</t>
  </si>
  <si>
    <t xml:space="preserve">Series Title: US Total New Privately Owned Housing Units Started; Thousands; NSA </t>
  </si>
  <si>
    <t>Q1 2003</t>
  </si>
  <si>
    <t>Q1 2004</t>
  </si>
  <si>
    <t>Q1 2005</t>
  </si>
  <si>
    <t>Q1 2006</t>
  </si>
  <si>
    <t>Q1 2007</t>
  </si>
  <si>
    <t>Q1 2008</t>
  </si>
  <si>
    <t xml:space="preserve"> Total retail and food services sales US bill</t>
  </si>
  <si>
    <t xml:space="preserve"> 2009 Q1</t>
  </si>
  <si>
    <t>2010 Q1</t>
  </si>
  <si>
    <r>
      <t>b</t>
    </r>
    <r>
      <rPr>
        <b/>
        <vertAlign val="subscript"/>
        <sz val="10"/>
        <rFont val="Arial"/>
        <family val="2"/>
      </rPr>
      <t>t</t>
    </r>
  </si>
  <si>
    <t>Year</t>
  </si>
  <si>
    <t>Unadjusted Air RPMs, All Services (Thousands)</t>
  </si>
  <si>
    <t>Average month</t>
  </si>
  <si>
    <t>Monthly variation from avrg</t>
  </si>
  <si>
    <t>Holt-Winters' Method Forecasting (multiplicative)</t>
  </si>
  <si>
    <t>Initial</t>
  </si>
  <si>
    <t>January</t>
  </si>
  <si>
    <t>February</t>
  </si>
  <si>
    <t>March</t>
  </si>
  <si>
    <t>April</t>
  </si>
  <si>
    <t>ME=</t>
  </si>
  <si>
    <t>MAE=</t>
  </si>
  <si>
    <t>June</t>
  </si>
  <si>
    <t>MPE=</t>
  </si>
  <si>
    <t>July</t>
  </si>
  <si>
    <t>MAPE=</t>
  </si>
  <si>
    <t>August</t>
  </si>
  <si>
    <t>MSE=</t>
  </si>
  <si>
    <t>September</t>
  </si>
  <si>
    <t>RMSE=</t>
  </si>
  <si>
    <t>October</t>
  </si>
  <si>
    <t>SEE=</t>
  </si>
  <si>
    <t>November</t>
  </si>
  <si>
    <t>December</t>
  </si>
  <si>
    <t>Step No 1</t>
  </si>
  <si>
    <t>Step No 2</t>
  </si>
  <si>
    <t>H25: average month for the year</t>
  </si>
  <si>
    <t>Step No 3</t>
  </si>
  <si>
    <t>I14: Variation of every month from the annual average month</t>
  </si>
  <si>
    <t>Step No 4</t>
  </si>
  <si>
    <t>G2: Average for all Januaries, Februaries, etc.</t>
  </si>
  <si>
    <t>Step No 5</t>
  </si>
  <si>
    <t>Step No 6</t>
  </si>
  <si>
    <t>HW formulae for back-forecasts</t>
  </si>
  <si>
    <t>Step No 7</t>
  </si>
  <si>
    <t>HW formulae for forecasts in the future</t>
  </si>
  <si>
    <t>Step No 9</t>
  </si>
  <si>
    <t>Optimize constants using Solver</t>
  </si>
  <si>
    <r>
      <t>E13=D14: a</t>
    </r>
    <r>
      <rPr>
        <vertAlign val="subscript"/>
        <sz val="11"/>
        <color rgb="FF000000"/>
        <rFont val="Calibri"/>
        <family val="2"/>
      </rPr>
      <t>0</t>
    </r>
    <r>
      <rPr>
        <sz val="11"/>
        <color theme="1"/>
        <rFont val="Calibri"/>
        <family val="2"/>
        <scheme val="minor"/>
      </rPr>
      <t>=y</t>
    </r>
    <r>
      <rPr>
        <vertAlign val="subscript"/>
        <sz val="11"/>
        <color rgb="FF000000"/>
        <rFont val="Calibri"/>
        <family val="2"/>
      </rPr>
      <t>1</t>
    </r>
    <r>
      <rPr>
        <sz val="11"/>
        <color theme="1"/>
        <rFont val="Calibri"/>
        <family val="2"/>
        <scheme val="minor"/>
      </rPr>
      <t>; F13: =AVERAGE((y</t>
    </r>
    <r>
      <rPr>
        <vertAlign val="subscript"/>
        <sz val="11"/>
        <color rgb="FF000000"/>
        <rFont val="Calibri"/>
        <family val="2"/>
      </rPr>
      <t>t+12</t>
    </r>
    <r>
      <rPr>
        <sz val="11"/>
        <color theme="1"/>
        <rFont val="Calibri"/>
        <family val="2"/>
        <scheme val="minor"/>
      </rPr>
      <t>-y</t>
    </r>
    <r>
      <rPr>
        <vertAlign val="subscript"/>
        <sz val="11"/>
        <color rgb="FF000000"/>
        <rFont val="Calibri"/>
        <family val="2"/>
      </rPr>
      <t>t</t>
    </r>
    <r>
      <rPr>
        <sz val="11"/>
        <color theme="1"/>
        <rFont val="Calibri"/>
        <family val="2"/>
        <scheme val="minor"/>
      </rPr>
      <t>)/12)</t>
    </r>
  </si>
  <si>
    <r>
      <t>HW formulae for a</t>
    </r>
    <r>
      <rPr>
        <vertAlign val="subscript"/>
        <sz val="11"/>
        <color rgb="FF000000"/>
        <rFont val="Calibri"/>
        <family val="2"/>
      </rPr>
      <t>t</t>
    </r>
    <r>
      <rPr>
        <sz val="11"/>
        <color theme="1"/>
        <rFont val="Calibri"/>
        <family val="2"/>
        <scheme val="minor"/>
      </rPr>
      <t>, b</t>
    </r>
    <r>
      <rPr>
        <vertAlign val="subscript"/>
        <sz val="11"/>
        <color rgb="FF000000"/>
        <rFont val="Calibri"/>
        <family val="2"/>
      </rPr>
      <t>t</t>
    </r>
    <r>
      <rPr>
        <sz val="11"/>
        <color theme="1"/>
        <rFont val="Calibri"/>
        <family val="2"/>
        <scheme val="minor"/>
      </rPr>
      <t>, and S</t>
    </r>
    <r>
      <rPr>
        <vertAlign val="subscript"/>
        <sz val="11"/>
        <color rgb="FF000000"/>
        <rFont val="Calibri"/>
        <family val="2"/>
      </rPr>
      <t>t</t>
    </r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</si>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</sst>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0.000"/>
    <numFmt numFmtId="165" formatCode="0.0"/>
    <numFmt numFmtId="166" formatCode="0.0000"/>
    <numFmt numFmtId="167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vertAlign val="subscript"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548235"/>
        <bgColor rgb="FF000000"/>
      </patternFill>
    </fill>
    <fill>
      <patternFill patternType="solid">
        <fgColor rgb="FFC65911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2F75B5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rgb="FFFFD966"/>
        <bgColor rgb="FF000000"/>
      </patternFill>
    </fill>
    <fill>
      <patternFill patternType="solid">
        <fgColor rgb="FFBF8F00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48">
    <xf numFmtId="0" fontId="0" fillId="0" borderId="0" xfId="0"/>
    <xf numFmtId="0" fontId="1" fillId="0" borderId="1" xfId="0" applyNumberFormat="1" applyFont="1" applyBorder="1" applyAlignment="1">
      <alignment horizontal="center"/>
    </xf>
    <xf numFmtId="0" fontId="1" fillId="0" borderId="2" xfId="0" applyNumberFormat="1" applyFon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7" xfId="0" applyBorder="1"/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9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0" fontId="0" fillId="0" borderId="12" xfId="0" applyNumberFormat="1" applyBorder="1"/>
    <xf numFmtId="0" fontId="0" fillId="0" borderId="13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4" xfId="0" applyNumberFormat="1" applyBorder="1"/>
    <xf numFmtId="1" fontId="0" fillId="0" borderId="5" xfId="0" applyNumberFormat="1" applyBorder="1" applyAlignment="1">
      <alignment horizontal="center"/>
    </xf>
    <xf numFmtId="0" fontId="0" fillId="0" borderId="6" xfId="0" applyNumberFormat="1" applyBorder="1"/>
    <xf numFmtId="1" fontId="0" fillId="0" borderId="8" xfId="0" applyNumberFormat="1" applyBorder="1" applyAlignment="1">
      <alignment horizontal="center"/>
    </xf>
    <xf numFmtId="0" fontId="0" fillId="0" borderId="0" xfId="0" applyNumberFormat="1"/>
    <xf numFmtId="2" fontId="0" fillId="0" borderId="0" xfId="0" applyNumberFormat="1"/>
    <xf numFmtId="0" fontId="0" fillId="0" borderId="4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right"/>
    </xf>
    <xf numFmtId="2" fontId="0" fillId="0" borderId="13" xfId="0" applyNumberFormat="1" applyBorder="1" applyAlignment="1">
      <alignment horizontal="left"/>
    </xf>
    <xf numFmtId="2" fontId="0" fillId="0" borderId="13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/>
    <xf numFmtId="1" fontId="0" fillId="0" borderId="2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1" fillId="0" borderId="0" xfId="0" quotePrefix="1" applyFont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164" fontId="1" fillId="0" borderId="0" xfId="0" quotePrefix="1" applyNumberFormat="1" applyFont="1"/>
    <xf numFmtId="0" fontId="1" fillId="0" borderId="0" xfId="0" quotePrefix="1" applyFont="1"/>
    <xf numFmtId="17" fontId="0" fillId="0" borderId="0" xfId="0" applyNumberFormat="1"/>
    <xf numFmtId="165" fontId="0" fillId="0" borderId="0" xfId="0" applyNumberFormat="1" applyFill="1"/>
    <xf numFmtId="10" fontId="0" fillId="0" borderId="0" xfId="0" applyNumberFormat="1" applyFill="1"/>
    <xf numFmtId="165" fontId="0" fillId="0" borderId="0" xfId="0" applyNumberFormat="1" applyFill="1" applyAlignment="1">
      <alignment horizontal="right"/>
    </xf>
    <xf numFmtId="10" fontId="1" fillId="0" borderId="0" xfId="0" applyNumberFormat="1" applyFont="1" applyFill="1"/>
    <xf numFmtId="165" fontId="0" fillId="0" borderId="0" xfId="0" applyNumberFormat="1"/>
    <xf numFmtId="10" fontId="0" fillId="0" borderId="0" xfId="0" applyNumberFormat="1"/>
    <xf numFmtId="17" fontId="0" fillId="0" borderId="7" xfId="0" applyNumberFormat="1" applyBorder="1"/>
    <xf numFmtId="165" fontId="0" fillId="0" borderId="7" xfId="0" applyNumberFormat="1" applyBorder="1"/>
    <xf numFmtId="10" fontId="0" fillId="0" borderId="7" xfId="0" applyNumberFormat="1" applyBorder="1"/>
    <xf numFmtId="165" fontId="0" fillId="0" borderId="7" xfId="0" applyNumberFormat="1" applyFill="1" applyBorder="1"/>
    <xf numFmtId="165" fontId="0" fillId="0" borderId="0" xfId="0" applyNumberFormat="1" applyBorder="1"/>
    <xf numFmtId="17" fontId="0" fillId="0" borderId="0" xfId="0" applyNumberFormat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0" xfId="0" applyNumberFormat="1" applyFont="1" applyAlignment="1">
      <alignment horizontal="right"/>
    </xf>
    <xf numFmtId="1" fontId="0" fillId="0" borderId="0" xfId="0" applyNumberFormat="1" applyFill="1" applyBorder="1"/>
    <xf numFmtId="2" fontId="0" fillId="0" borderId="0" xfId="0" applyNumberFormat="1" applyFill="1" applyBorder="1"/>
    <xf numFmtId="2" fontId="0" fillId="0" borderId="5" xfId="0" applyNumberFormat="1" applyBorder="1"/>
    <xf numFmtId="2" fontId="1" fillId="0" borderId="0" xfId="0" applyNumberFormat="1" applyFont="1" applyBorder="1"/>
    <xf numFmtId="2" fontId="0" fillId="0" borderId="0" xfId="0" applyNumberFormat="1" applyBorder="1"/>
    <xf numFmtId="1" fontId="0" fillId="0" borderId="0" xfId="0" applyNumberFormat="1" applyBorder="1"/>
    <xf numFmtId="0" fontId="0" fillId="0" borderId="13" xfId="0" applyNumberFormat="1" applyFill="1" applyBorder="1" applyAlignment="1">
      <alignment horizontal="center"/>
    </xf>
    <xf numFmtId="0" fontId="0" fillId="0" borderId="13" xfId="0" applyBorder="1"/>
    <xf numFmtId="2" fontId="0" fillId="0" borderId="14" xfId="0" applyNumberFormat="1" applyBorder="1"/>
    <xf numFmtId="0" fontId="0" fillId="0" borderId="0" xfId="0" applyBorder="1"/>
    <xf numFmtId="0" fontId="0" fillId="0" borderId="7" xfId="0" applyNumberFormat="1" applyFill="1" applyBorder="1" applyAlignment="1">
      <alignment horizontal="center"/>
    </xf>
    <xf numFmtId="2" fontId="0" fillId="0" borderId="8" xfId="0" applyNumberFormat="1" applyBorder="1"/>
    <xf numFmtId="0" fontId="1" fillId="0" borderId="0" xfId="0" quotePrefix="1" applyFont="1" applyFill="1" applyBorder="1" applyAlignment="1">
      <alignment horizontal="left"/>
    </xf>
    <xf numFmtId="1" fontId="0" fillId="0" borderId="7" xfId="0" applyNumberFormat="1" applyBorder="1"/>
    <xf numFmtId="2" fontId="0" fillId="0" borderId="0" xfId="0" applyNumberFormat="1" applyBorder="1" applyAlignment="1">
      <alignment horizontal="center"/>
    </xf>
    <xf numFmtId="0" fontId="1" fillId="0" borderId="7" xfId="0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0" borderId="10" xfId="0" applyBorder="1"/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0" xfId="0" applyNumberFormat="1" applyFont="1" applyFill="1" applyBorder="1"/>
    <xf numFmtId="0" fontId="7" fillId="0" borderId="4" xfId="0" applyNumberFormat="1" applyFont="1" applyFill="1" applyBorder="1"/>
    <xf numFmtId="0" fontId="7" fillId="0" borderId="4" xfId="0" quotePrefix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0" xfId="0" applyFont="1" applyFill="1" applyBorder="1"/>
    <xf numFmtId="0" fontId="7" fillId="0" borderId="4" xfId="0" applyFont="1" applyFill="1" applyBorder="1"/>
    <xf numFmtId="2" fontId="7" fillId="0" borderId="0" xfId="0" applyNumberFormat="1" applyFont="1" applyFill="1" applyBorder="1"/>
    <xf numFmtId="2" fontId="7" fillId="0" borderId="0" xfId="0" applyNumberFormat="1" applyFont="1" applyFill="1" applyBorder="1" applyAlignment="1">
      <alignment wrapText="1"/>
    </xf>
    <xf numFmtId="2" fontId="7" fillId="2" borderId="5" xfId="0" quotePrefix="1" applyNumberFormat="1" applyFont="1" applyFill="1" applyBorder="1"/>
    <xf numFmtId="2" fontId="7" fillId="0" borderId="10" xfId="0" applyNumberFormat="1" applyFont="1" applyFill="1" applyBorder="1"/>
    <xf numFmtId="164" fontId="6" fillId="0" borderId="0" xfId="2" applyNumberFormat="1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66" fontId="8" fillId="0" borderId="0" xfId="0" quotePrefix="1" applyNumberFormat="1" applyFont="1" applyFill="1" applyBorder="1"/>
    <xf numFmtId="0" fontId="6" fillId="0" borderId="0" xfId="0" applyFont="1" applyFill="1" applyBorder="1" applyAlignment="1">
      <alignment horizontal="right"/>
    </xf>
    <xf numFmtId="166" fontId="8" fillId="0" borderId="0" xfId="0" applyNumberFormat="1" applyFont="1" applyFill="1" applyBorder="1"/>
    <xf numFmtId="2" fontId="7" fillId="3" borderId="4" xfId="0" applyNumberFormat="1" applyFont="1" applyFill="1" applyBorder="1"/>
    <xf numFmtId="166" fontId="7" fillId="3" borderId="0" xfId="0" applyNumberFormat="1" applyFont="1" applyFill="1" applyBorder="1"/>
    <xf numFmtId="0" fontId="7" fillId="3" borderId="0" xfId="0" applyFont="1" applyFill="1" applyBorder="1"/>
    <xf numFmtId="167" fontId="7" fillId="0" borderId="0" xfId="1" applyNumberFormat="1" applyFont="1" applyFill="1" applyBorder="1"/>
    <xf numFmtId="2" fontId="5" fillId="4" borderId="4" xfId="0" quotePrefix="1" applyNumberFormat="1" applyFont="1" applyFill="1" applyBorder="1"/>
    <xf numFmtId="2" fontId="5" fillId="4" borderId="0" xfId="0" quotePrefix="1" applyNumberFormat="1" applyFont="1" applyFill="1" applyBorder="1"/>
    <xf numFmtId="2" fontId="7" fillId="5" borderId="0" xfId="0" quotePrefix="1" applyNumberFormat="1" applyFont="1" applyFill="1" applyBorder="1" applyAlignment="1">
      <alignment wrapText="1"/>
    </xf>
    <xf numFmtId="2" fontId="5" fillId="4" borderId="5" xfId="0" quotePrefix="1" applyNumberFormat="1" applyFont="1" applyFill="1" applyBorder="1"/>
    <xf numFmtId="0" fontId="7" fillId="6" borderId="0" xfId="0" applyFont="1" applyFill="1" applyBorder="1"/>
    <xf numFmtId="0" fontId="7" fillId="5" borderId="0" xfId="0" applyFont="1" applyFill="1" applyBorder="1"/>
    <xf numFmtId="0" fontId="7" fillId="2" borderId="0" xfId="0" applyFont="1" applyFill="1" applyBorder="1"/>
    <xf numFmtId="0" fontId="7" fillId="4" borderId="0" xfId="0" applyFont="1" applyFill="1" applyBorder="1"/>
    <xf numFmtId="0" fontId="7" fillId="7" borderId="0" xfId="0" applyFont="1" applyFill="1" applyBorder="1"/>
    <xf numFmtId="0" fontId="7" fillId="8" borderId="0" xfId="0" applyFont="1" applyFill="1" applyBorder="1"/>
    <xf numFmtId="2" fontId="7" fillId="6" borderId="0" xfId="0" applyNumberFormat="1" applyFont="1" applyFill="1" applyBorder="1"/>
    <xf numFmtId="2" fontId="5" fillId="7" borderId="10" xfId="0" applyNumberFormat="1" applyFont="1" applyFill="1" applyBorder="1"/>
    <xf numFmtId="2" fontId="5" fillId="0" borderId="0" xfId="0" applyNumberFormat="1" applyFont="1" applyFill="1" applyBorder="1"/>
    <xf numFmtId="2" fontId="5" fillId="4" borderId="6" xfId="0" quotePrefix="1" applyNumberFormat="1" applyFont="1" applyFill="1" applyBorder="1"/>
    <xf numFmtId="2" fontId="5" fillId="4" borderId="7" xfId="0" quotePrefix="1" applyNumberFormat="1" applyFont="1" applyFill="1" applyBorder="1"/>
    <xf numFmtId="2" fontId="5" fillId="4" borderId="8" xfId="0" quotePrefix="1" applyNumberFormat="1" applyFont="1" applyFill="1" applyBorder="1"/>
    <xf numFmtId="0" fontId="7" fillId="0" borderId="12" xfId="0" applyNumberFormat="1" applyFont="1" applyFill="1" applyBorder="1"/>
    <xf numFmtId="0" fontId="7" fillId="0" borderId="12" xfId="0" applyFont="1" applyFill="1" applyBorder="1"/>
    <xf numFmtId="0" fontId="7" fillId="0" borderId="14" xfId="0" applyFont="1" applyFill="1" applyBorder="1"/>
    <xf numFmtId="0" fontId="7" fillId="0" borderId="13" xfId="0" quotePrefix="1" applyFont="1" applyFill="1" applyBorder="1"/>
    <xf numFmtId="0" fontId="7" fillId="0" borderId="13" xfId="0" applyFont="1" applyFill="1" applyBorder="1"/>
    <xf numFmtId="2" fontId="7" fillId="0" borderId="13" xfId="0" quotePrefix="1" applyNumberFormat="1" applyFont="1" applyFill="1" applyBorder="1"/>
    <xf numFmtId="2" fontId="7" fillId="0" borderId="13" xfId="0" applyNumberFormat="1" applyFont="1" applyFill="1" applyBorder="1" applyAlignment="1">
      <alignment wrapText="1"/>
    </xf>
    <xf numFmtId="2" fontId="7" fillId="0" borderId="13" xfId="0" applyNumberFormat="1" applyFont="1" applyFill="1" applyBorder="1"/>
    <xf numFmtId="2" fontId="6" fillId="8" borderId="14" xfId="0" applyNumberFormat="1" applyFont="1" applyFill="1" applyBorder="1"/>
    <xf numFmtId="2" fontId="6" fillId="0" borderId="0" xfId="0" applyNumberFormat="1" applyFont="1" applyFill="1" applyBorder="1"/>
    <xf numFmtId="2" fontId="6" fillId="8" borderId="5" xfId="0" applyNumberFormat="1" applyFont="1" applyFill="1" applyBorder="1"/>
    <xf numFmtId="0" fontId="7" fillId="0" borderId="6" xfId="0" applyNumberFormat="1" applyFont="1" applyFill="1" applyBorder="1"/>
    <xf numFmtId="0" fontId="7" fillId="0" borderId="6" xfId="0" applyFont="1" applyFill="1" applyBorder="1"/>
    <xf numFmtId="0" fontId="7" fillId="0" borderId="8" xfId="0" applyFont="1" applyFill="1" applyBorder="1"/>
    <xf numFmtId="0" fontId="7" fillId="0" borderId="7" xfId="0" applyFont="1" applyFill="1" applyBorder="1"/>
    <xf numFmtId="2" fontId="7" fillId="0" borderId="7" xfId="0" applyNumberFormat="1" applyFont="1" applyFill="1" applyBorder="1"/>
    <xf numFmtId="2" fontId="7" fillId="0" borderId="7" xfId="0" applyNumberFormat="1" applyFont="1" applyFill="1" applyBorder="1" applyAlignment="1">
      <alignment wrapText="1"/>
    </xf>
    <xf numFmtId="2" fontId="6" fillId="8" borderId="8" xfId="0" applyNumberFormat="1" applyFont="1" applyFill="1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Time series and the trend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trendline>
            <c:trendlineType val="linear"/>
            <c:dispRSqr val="0"/>
            <c:dispEq val="0"/>
          </c:trendline>
          <c:val>
            <c:numRef>
              <c:f>'9.1.1-6'!$B$2:$B$24</c:f>
              <c:numCache>
                <c:formatCode>General</c:formatCode>
                <c:ptCount val="23"/>
                <c:pt idx="0">
                  <c:v>41856</c:v>
                </c:pt>
                <c:pt idx="1">
                  <c:v>46689</c:v>
                </c:pt>
                <c:pt idx="2">
                  <c:v>50476</c:v>
                </c:pt>
                <c:pt idx="3">
                  <c:v>49581</c:v>
                </c:pt>
                <c:pt idx="4">
                  <c:v>54993</c:v>
                </c:pt>
                <c:pt idx="5">
                  <c:v>64247</c:v>
                </c:pt>
                <c:pt idx="6">
                  <c:v>72052</c:v>
                </c:pt>
                <c:pt idx="7">
                  <c:v>71666</c:v>
                </c:pt>
                <c:pt idx="8">
                  <c:v>65802</c:v>
                </c:pt>
                <c:pt idx="9">
                  <c:v>63277</c:v>
                </c:pt>
                <c:pt idx="10">
                  <c:v>60912</c:v>
                </c:pt>
                <c:pt idx="11">
                  <c:v>63839</c:v>
                </c:pt>
                <c:pt idx="12">
                  <c:v>68840</c:v>
                </c:pt>
                <c:pt idx="13">
                  <c:v>76053</c:v>
                </c:pt>
                <c:pt idx="14">
                  <c:v>83481</c:v>
                </c:pt>
                <c:pt idx="15">
                  <c:v>100225</c:v>
                </c:pt>
                <c:pt idx="16">
                  <c:v>104205</c:v>
                </c:pt>
                <c:pt idx="17">
                  <c:v>108933</c:v>
                </c:pt>
                <c:pt idx="18">
                  <c:v>110390</c:v>
                </c:pt>
                <c:pt idx="19">
                  <c:v>111678</c:v>
                </c:pt>
                <c:pt idx="20">
                  <c:v>109218</c:v>
                </c:pt>
                <c:pt idx="21">
                  <c:v>111765</c:v>
                </c:pt>
                <c:pt idx="22">
                  <c:v>115116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6F-46DC-9D72-83E32A55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849984"/>
        <c:axId val="129851776"/>
      </c:lineChart>
      <c:catAx>
        <c:axId val="129849984"/>
        <c:scaling>
          <c:orientation val="minMax"/>
        </c:scaling>
        <c:delete val="0"/>
        <c:axPos val="b"/>
        <c:majorTickMark val="out"/>
        <c:minorTickMark val="none"/>
        <c:tickLblPos val="nextTo"/>
        <c:crossAx val="129851776"/>
        <c:crosses val="autoZero"/>
        <c:auto val="1"/>
        <c:lblAlgn val="ctr"/>
        <c:lblOffset val="100"/>
        <c:noMultiLvlLbl val="0"/>
      </c:catAx>
      <c:valAx>
        <c:axId val="12985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9849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'9.1.9-15'!$C$1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'9.1.9-15'!$C$2:$C$61</c:f>
              <c:numCache>
                <c:formatCode>0.0</c:formatCode>
                <c:ptCount val="60"/>
                <c:pt idx="0">
                  <c:v>110.4</c:v>
                </c:pt>
                <c:pt idx="1">
                  <c:v>120.4</c:v>
                </c:pt>
                <c:pt idx="2">
                  <c:v>138.19999999999999</c:v>
                </c:pt>
                <c:pt idx="3">
                  <c:v>148.80000000000001</c:v>
                </c:pt>
                <c:pt idx="4">
                  <c:v>165.5</c:v>
                </c:pt>
                <c:pt idx="5">
                  <c:v>160.30000000000001</c:v>
                </c:pt>
                <c:pt idx="6" formatCode="General">
                  <c:v>155.9</c:v>
                </c:pt>
                <c:pt idx="7">
                  <c:v>147</c:v>
                </c:pt>
                <c:pt idx="8" formatCode="General">
                  <c:v>155.6</c:v>
                </c:pt>
                <c:pt idx="9" formatCode="General">
                  <c:v>146.80000000000001</c:v>
                </c:pt>
                <c:pt idx="10" formatCode="General">
                  <c:v>133</c:v>
                </c:pt>
                <c:pt idx="11">
                  <c:v>123.1</c:v>
                </c:pt>
                <c:pt idx="12" formatCode="General">
                  <c:v>117.8</c:v>
                </c:pt>
                <c:pt idx="13" formatCode="General">
                  <c:v>109.7</c:v>
                </c:pt>
                <c:pt idx="14" formatCode="General">
                  <c:v>147.19999999999999</c:v>
                </c:pt>
                <c:pt idx="15" formatCode="General">
                  <c:v>151.19999999999999</c:v>
                </c:pt>
                <c:pt idx="16">
                  <c:v>165</c:v>
                </c:pt>
                <c:pt idx="17">
                  <c:v>174.5</c:v>
                </c:pt>
                <c:pt idx="18" formatCode="General">
                  <c:v>175.8</c:v>
                </c:pt>
                <c:pt idx="19">
                  <c:v>163.80000000000001</c:v>
                </c:pt>
                <c:pt idx="20" formatCode="General">
                  <c:v>171.3</c:v>
                </c:pt>
                <c:pt idx="21" formatCode="General">
                  <c:v>173.5</c:v>
                </c:pt>
                <c:pt idx="22" formatCode="General">
                  <c:v>153.69999999999999</c:v>
                </c:pt>
                <c:pt idx="23" formatCode="General">
                  <c:v>144.19999999999999</c:v>
                </c:pt>
                <c:pt idx="24">
                  <c:v>124.5</c:v>
                </c:pt>
                <c:pt idx="25">
                  <c:v>126.4</c:v>
                </c:pt>
                <c:pt idx="26" formatCode="General">
                  <c:v>173.8</c:v>
                </c:pt>
                <c:pt idx="27">
                  <c:v>179.5</c:v>
                </c:pt>
                <c:pt idx="28">
                  <c:v>187.6</c:v>
                </c:pt>
                <c:pt idx="29" formatCode="General">
                  <c:v>172.3</c:v>
                </c:pt>
                <c:pt idx="30" formatCode="General">
                  <c:v>182</c:v>
                </c:pt>
                <c:pt idx="31">
                  <c:v>185.9</c:v>
                </c:pt>
                <c:pt idx="32" formatCode="General">
                  <c:v>164</c:v>
                </c:pt>
                <c:pt idx="33" formatCode="General">
                  <c:v>181.3</c:v>
                </c:pt>
                <c:pt idx="34">
                  <c:v>138.1</c:v>
                </c:pt>
                <c:pt idx="35" formatCode="General">
                  <c:v>140.19999999999999</c:v>
                </c:pt>
                <c:pt idx="36">
                  <c:v>142.9</c:v>
                </c:pt>
                <c:pt idx="37" formatCode="General">
                  <c:v>149.1</c:v>
                </c:pt>
                <c:pt idx="38" formatCode="General">
                  <c:v>156.19999999999999</c:v>
                </c:pt>
                <c:pt idx="39" formatCode="General">
                  <c:v>184.6</c:v>
                </c:pt>
                <c:pt idx="40">
                  <c:v>197.9</c:v>
                </c:pt>
                <c:pt idx="41">
                  <c:v>192.8</c:v>
                </c:pt>
                <c:pt idx="42" formatCode="General">
                  <c:v>187.6</c:v>
                </c:pt>
                <c:pt idx="43" formatCode="General">
                  <c:v>192</c:v>
                </c:pt>
                <c:pt idx="44" formatCode="General">
                  <c:v>187.9</c:v>
                </c:pt>
                <c:pt idx="45">
                  <c:v>180.4</c:v>
                </c:pt>
                <c:pt idx="46">
                  <c:v>160.69999999999999</c:v>
                </c:pt>
                <c:pt idx="47">
                  <c:v>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7C-4D69-A37A-C591C956AE8F}"/>
            </c:ext>
          </c:extLst>
        </c:ser>
        <c:ser>
          <c:idx val="1"/>
          <c:order val="1"/>
          <c:tx>
            <c:strRef>
              <c:f>'9.1.9-15'!$H$1</c:f>
              <c:strCache>
                <c:ptCount val="1"/>
                <c:pt idx="0">
                  <c:v>RECOMP</c:v>
                </c:pt>
              </c:strCache>
            </c:strRef>
          </c:tx>
          <c:marker>
            <c:symbol val="none"/>
          </c:marker>
          <c:val>
            <c:numRef>
              <c:f>'9.1.9-15'!$H$2:$H$49</c:f>
              <c:numCache>
                <c:formatCode>0</c:formatCode>
                <c:ptCount val="48"/>
                <c:pt idx="0">
                  <c:v>109.67182712446076</c:v>
                </c:pt>
                <c:pt idx="1">
                  <c:v>114.81729942581892</c:v>
                </c:pt>
                <c:pt idx="2">
                  <c:v>137.2270373759886</c:v>
                </c:pt>
                <c:pt idx="3">
                  <c:v>149.43528500564923</c:v>
                </c:pt>
                <c:pt idx="4">
                  <c:v>162.18913535256866</c:v>
                </c:pt>
                <c:pt idx="5">
                  <c:v>158.69029410203103</c:v>
                </c:pt>
                <c:pt idx="6">
                  <c:v>156.93096782451096</c:v>
                </c:pt>
                <c:pt idx="7">
                  <c:v>154.72590319462248</c:v>
                </c:pt>
                <c:pt idx="8">
                  <c:v>154.59815469074812</c:v>
                </c:pt>
                <c:pt idx="9">
                  <c:v>153.0278421289284</c:v>
                </c:pt>
                <c:pt idx="10">
                  <c:v>132.32193858762869</c:v>
                </c:pt>
                <c:pt idx="11">
                  <c:v>122.62052070408781</c:v>
                </c:pt>
                <c:pt idx="12">
                  <c:v>118.03069745472172</c:v>
                </c:pt>
                <c:pt idx="13">
                  <c:v>123.51311200077208</c:v>
                </c:pt>
                <c:pt idx="14">
                  <c:v>147.55489312314415</c:v>
                </c:pt>
                <c:pt idx="15">
                  <c:v>160.61185001646987</c:v>
                </c:pt>
                <c:pt idx="16">
                  <c:v>174.2444496751597</c:v>
                </c:pt>
                <c:pt idx="17">
                  <c:v>170.4129332065969</c:v>
                </c:pt>
                <c:pt idx="18">
                  <c:v>168.45271632749063</c:v>
                </c:pt>
                <c:pt idx="19">
                  <c:v>166.01667759992921</c:v>
                </c:pt>
                <c:pt idx="20">
                  <c:v>165.81141838078656</c:v>
                </c:pt>
                <c:pt idx="21">
                  <c:v>164.06052350427831</c:v>
                </c:pt>
                <c:pt idx="22">
                  <c:v>141.80483585139018</c:v>
                </c:pt>
                <c:pt idx="23">
                  <c:v>131.35599329597437</c:v>
                </c:pt>
                <c:pt idx="24">
                  <c:v>126.38956778498269</c:v>
                </c:pt>
                <c:pt idx="25">
                  <c:v>132.20892457572529</c:v>
                </c:pt>
                <c:pt idx="26">
                  <c:v>157.88274887029971</c:v>
                </c:pt>
                <c:pt idx="27">
                  <c:v>171.78841502729045</c:v>
                </c:pt>
                <c:pt idx="28">
                  <c:v>186.29976399775074</c:v>
                </c:pt>
                <c:pt idx="29">
                  <c:v>182.13557231116275</c:v>
                </c:pt>
                <c:pt idx="30">
                  <c:v>179.97446483047028</c:v>
                </c:pt>
                <c:pt idx="31">
                  <c:v>177.30745200523589</c:v>
                </c:pt>
                <c:pt idx="32">
                  <c:v>177.02468207082501</c:v>
                </c:pt>
                <c:pt idx="33">
                  <c:v>175.09320487962822</c:v>
                </c:pt>
                <c:pt idx="34">
                  <c:v>151.28773311515164</c:v>
                </c:pt>
                <c:pt idx="35">
                  <c:v>140.09146588786095</c:v>
                </c:pt>
                <c:pt idx="36">
                  <c:v>134.74843811524366</c:v>
                </c:pt>
                <c:pt idx="37">
                  <c:v>140.90473715067844</c:v>
                </c:pt>
                <c:pt idx="38">
                  <c:v>168.21060461745526</c:v>
                </c:pt>
                <c:pt idx="39">
                  <c:v>182.96498003811112</c:v>
                </c:pt>
                <c:pt idx="40">
                  <c:v>198.35507832034179</c:v>
                </c:pt>
                <c:pt idx="41">
                  <c:v>193.85821141572862</c:v>
                </c:pt>
                <c:pt idx="42">
                  <c:v>191.49621333344996</c:v>
                </c:pt>
                <c:pt idx="43">
                  <c:v>188.59822641054262</c:v>
                </c:pt>
                <c:pt idx="44">
                  <c:v>188.2379457608634</c:v>
                </c:pt>
                <c:pt idx="45">
                  <c:v>186.1258862549781</c:v>
                </c:pt>
                <c:pt idx="46">
                  <c:v>160.7706303789131</c:v>
                </c:pt>
                <c:pt idx="47">
                  <c:v>148.82693847974753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7C-4D69-A37A-C591C956AE8F}"/>
            </c:ext>
          </c:extLst>
        </c:ser>
        <c:ser>
          <c:idx val="2"/>
          <c:order val="2"/>
          <c:tx>
            <c:strRef>
              <c:f>'9.1.9-15'!$I$1</c:f>
              <c:strCache>
                <c:ptCount val="1"/>
                <c:pt idx="0">
                  <c:v>FORECAST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'9.1.9-15'!$I$2:$I$61</c:f>
              <c:numCache>
                <c:formatCode>General</c:formatCode>
                <c:ptCount val="60"/>
                <c:pt idx="47">
                  <c:v>136</c:v>
                </c:pt>
                <c:pt idx="48" formatCode="0">
                  <c:v>143.1073084455046</c:v>
                </c:pt>
                <c:pt idx="49" formatCode="0">
                  <c:v>149.60054972563159</c:v>
                </c:pt>
                <c:pt idx="50" formatCode="0">
                  <c:v>178.53846036461076</c:v>
                </c:pt>
                <c:pt idx="51" formatCode="0">
                  <c:v>194.14154504893176</c:v>
                </c:pt>
                <c:pt idx="52" formatCode="0">
                  <c:v>210.41039264293286</c:v>
                </c:pt>
                <c:pt idx="53" formatCode="0">
                  <c:v>205.58085052029443</c:v>
                </c:pt>
                <c:pt idx="54" formatCode="0">
                  <c:v>203.01796183642961</c:v>
                </c:pt>
                <c:pt idx="55" formatCode="0">
                  <c:v>199.88900081584927</c:v>
                </c:pt>
                <c:pt idx="56" formatCode="0">
                  <c:v>199.45120945090181</c:v>
                </c:pt>
                <c:pt idx="57" formatCode="0">
                  <c:v>197.15856763032804</c:v>
                </c:pt>
                <c:pt idx="58" formatCode="0">
                  <c:v>170.25352764267461</c:v>
                </c:pt>
                <c:pt idx="59" formatCode="0">
                  <c:v>157.56241107163407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7C-4D69-A37A-C591C956AE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948352"/>
        <c:axId val="179994624"/>
      </c:lineChart>
      <c:catAx>
        <c:axId val="178948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79994624"/>
        <c:crosses val="autoZero"/>
        <c:auto val="1"/>
        <c:lblAlgn val="ctr"/>
        <c:lblOffset val="100"/>
        <c:noMultiLvlLbl val="0"/>
      </c:catAx>
      <c:valAx>
        <c:axId val="17999462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7894835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'9.2.1-7'!$B$1:$B$2</c:f>
              <c:strCache>
                <c:ptCount val="2"/>
                <c:pt idx="0">
                  <c:v>Time</c:v>
                </c:pt>
                <c:pt idx="1">
                  <c:v>series</c:v>
                </c:pt>
              </c:strCache>
            </c:strRef>
          </c:tx>
          <c:marker>
            <c:symbol val="none"/>
          </c:marker>
          <c:val>
            <c:numRef>
              <c:f>'9.2.1-7'!$B$3:$B$26</c:f>
              <c:numCache>
                <c:formatCode>0</c:formatCode>
                <c:ptCount val="24"/>
                <c:pt idx="0">
                  <c:v>963</c:v>
                </c:pt>
                <c:pt idx="1">
                  <c:v>922</c:v>
                </c:pt>
                <c:pt idx="2">
                  <c:v>908</c:v>
                </c:pt>
                <c:pt idx="3">
                  <c:v>822</c:v>
                </c:pt>
                <c:pt idx="4">
                  <c:v>1031</c:v>
                </c:pt>
                <c:pt idx="5">
                  <c:v>968</c:v>
                </c:pt>
                <c:pt idx="6">
                  <c:v>965</c:v>
                </c:pt>
                <c:pt idx="7">
                  <c:v>883</c:v>
                </c:pt>
                <c:pt idx="8">
                  <c:v>1084</c:v>
                </c:pt>
                <c:pt idx="9">
                  <c:v>1039</c:v>
                </c:pt>
                <c:pt idx="10">
                  <c:v>1031</c:v>
                </c:pt>
                <c:pt idx="11">
                  <c:v>927</c:v>
                </c:pt>
                <c:pt idx="12">
                  <c:v>1121</c:v>
                </c:pt>
                <c:pt idx="13">
                  <c:v>1082</c:v>
                </c:pt>
                <c:pt idx="14">
                  <c:v>1091</c:v>
                </c:pt>
                <c:pt idx="15">
                  <c:v>993</c:v>
                </c:pt>
                <c:pt idx="16">
                  <c:v>1170</c:v>
                </c:pt>
                <c:pt idx="17">
                  <c:v>1112</c:v>
                </c:pt>
                <c:pt idx="18">
                  <c:v>1126</c:v>
                </c:pt>
                <c:pt idx="19">
                  <c:v>1024</c:v>
                </c:pt>
                <c:pt idx="20">
                  <c:v>1079</c:v>
                </c:pt>
                <c:pt idx="21">
                  <c:v>1123</c:v>
                </c:pt>
                <c:pt idx="22">
                  <c:v>1151</c:v>
                </c:pt>
                <c:pt idx="23">
                  <c:v>1060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E6-42A2-B8D0-25C7FC5D0103}"/>
            </c:ext>
          </c:extLst>
        </c:ser>
        <c:ser>
          <c:idx val="1"/>
          <c:order val="1"/>
          <c:tx>
            <c:strRef>
              <c:f>'9.2.1-7'!$I$1:$I$2</c:f>
              <c:strCache>
                <c:ptCount val="2"/>
                <c:pt idx="0">
                  <c:v>Reseasonalized</c:v>
                </c:pt>
                <c:pt idx="1">
                  <c:v>Forecast</c:v>
                </c:pt>
              </c:strCache>
            </c:strRef>
          </c:tx>
          <c:marker>
            <c:symbol val="none"/>
          </c:marker>
          <c:val>
            <c:numRef>
              <c:f>'9.2.1-7'!$I$3:$I$34</c:f>
              <c:numCache>
                <c:formatCode>0.0</c:formatCode>
                <c:ptCount val="32"/>
                <c:pt idx="0">
                  <c:v>963</c:v>
                </c:pt>
                <c:pt idx="1">
                  <c:v>922.74141311907567</c:v>
                </c:pt>
                <c:pt idx="2">
                  <c:v>913.59249788218756</c:v>
                </c:pt>
                <c:pt idx="3">
                  <c:v>819.94727297912948</c:v>
                </c:pt>
                <c:pt idx="4">
                  <c:v>960.169913467475</c:v>
                </c:pt>
                <c:pt idx="5">
                  <c:v>956.22056269457642</c:v>
                </c:pt>
                <c:pt idx="6">
                  <c:v>957.98609260803164</c:v>
                </c:pt>
                <c:pt idx="7">
                  <c:v>870.94479193451264</c:v>
                </c:pt>
                <c:pt idx="8">
                  <c:v>1032.843334521013</c:v>
                </c:pt>
                <c:pt idx="9">
                  <c:v>1022.9645682779349</c:v>
                </c:pt>
                <c:pt idx="10">
                  <c:v>1032.1883147161557</c:v>
                </c:pt>
                <c:pt idx="11">
                  <c:v>939.31398337537814</c:v>
                </c:pt>
                <c:pt idx="12">
                  <c:v>1103.3428471042548</c:v>
                </c:pt>
                <c:pt idx="13">
                  <c:v>1076.8766010274435</c:v>
                </c:pt>
                <c:pt idx="14">
                  <c:v>1081.0628435865744</c:v>
                </c:pt>
                <c:pt idx="15">
                  <c:v>989.16568278975183</c:v>
                </c:pt>
                <c:pt idx="16">
                  <c:v>1173.2056002020613</c:v>
                </c:pt>
                <c:pt idx="17">
                  <c:v>1135.6999187087733</c:v>
                </c:pt>
                <c:pt idx="18">
                  <c:v>1125.1522567683592</c:v>
                </c:pt>
                <c:pt idx="19">
                  <c:v>1023.6667410880666</c:v>
                </c:pt>
                <c:pt idx="20">
                  <c:v>1209.7405694387935</c:v>
                </c:pt>
                <c:pt idx="21">
                  <c:v>1103.1659461993208</c:v>
                </c:pt>
                <c:pt idx="22">
                  <c:v>1105.5349197294777</c:v>
                </c:pt>
                <c:pt idx="23">
                  <c:v>1020.8847776072633</c:v>
                </c:pt>
                <c:pt idx="24">
                  <c:v>1226.4180972937768</c:v>
                </c:pt>
                <c:pt idx="25">
                  <c:v>1176.769202552799</c:v>
                </c:pt>
                <c:pt idx="26">
                  <c:v>1135.3840271447787</c:v>
                </c:pt>
                <c:pt idx="27">
                  <c:v>1011.3146429129172</c:v>
                </c:pt>
                <c:pt idx="28">
                  <c:v>1190.9161777773381</c:v>
                </c:pt>
                <c:pt idx="29">
                  <c:v>1161.7554902617517</c:v>
                </c:pt>
                <c:pt idx="30">
                  <c:v>1163.4791420999456</c:v>
                </c:pt>
                <c:pt idx="31">
                  <c:v>1052.9743112029619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E6-42A2-B8D0-25C7FC5D0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474624"/>
        <c:axId val="180476160"/>
      </c:lineChart>
      <c:catAx>
        <c:axId val="180474624"/>
        <c:scaling>
          <c:orientation val="minMax"/>
        </c:scaling>
        <c:delete val="0"/>
        <c:axPos val="b"/>
        <c:majorTickMark val="out"/>
        <c:minorTickMark val="none"/>
        <c:tickLblPos val="nextTo"/>
        <c:crossAx val="180476160"/>
        <c:crosses val="autoZero"/>
        <c:auto val="1"/>
        <c:lblAlgn val="ctr"/>
        <c:lblOffset val="100"/>
        <c:noMultiLvlLbl val="0"/>
      </c:catAx>
      <c:valAx>
        <c:axId val="180476160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804746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'9.3.1-3'!$C$1</c:f>
              <c:strCache>
                <c:ptCount val="1"/>
                <c:pt idx="0">
                  <c:v>Series</c:v>
                </c:pt>
              </c:strCache>
            </c:strRef>
          </c:tx>
          <c:marker>
            <c:symbol val="none"/>
          </c:marker>
          <c:val>
            <c:numRef>
              <c:f>'9.3.1-3'!$C$2:$C$29</c:f>
              <c:numCache>
                <c:formatCode>0</c:formatCode>
                <c:ptCount val="28"/>
                <c:pt idx="0">
                  <c:v>963</c:v>
                </c:pt>
                <c:pt idx="1">
                  <c:v>922</c:v>
                </c:pt>
                <c:pt idx="2">
                  <c:v>908</c:v>
                </c:pt>
                <c:pt idx="3">
                  <c:v>822</c:v>
                </c:pt>
                <c:pt idx="4">
                  <c:v>1031</c:v>
                </c:pt>
                <c:pt idx="5">
                  <c:v>968</c:v>
                </c:pt>
                <c:pt idx="6">
                  <c:v>965</c:v>
                </c:pt>
                <c:pt idx="7">
                  <c:v>883</c:v>
                </c:pt>
                <c:pt idx="8">
                  <c:v>1084</c:v>
                </c:pt>
                <c:pt idx="9">
                  <c:v>1039</c:v>
                </c:pt>
                <c:pt idx="10">
                  <c:v>1031</c:v>
                </c:pt>
                <c:pt idx="11">
                  <c:v>927</c:v>
                </c:pt>
                <c:pt idx="12">
                  <c:v>1121</c:v>
                </c:pt>
                <c:pt idx="13">
                  <c:v>1082</c:v>
                </c:pt>
                <c:pt idx="14">
                  <c:v>1091</c:v>
                </c:pt>
                <c:pt idx="15">
                  <c:v>993</c:v>
                </c:pt>
                <c:pt idx="16">
                  <c:v>1170</c:v>
                </c:pt>
                <c:pt idx="17">
                  <c:v>1112</c:v>
                </c:pt>
                <c:pt idx="18">
                  <c:v>1126</c:v>
                </c:pt>
                <c:pt idx="19">
                  <c:v>1024</c:v>
                </c:pt>
                <c:pt idx="20">
                  <c:v>1079</c:v>
                </c:pt>
                <c:pt idx="21">
                  <c:v>1123</c:v>
                </c:pt>
                <c:pt idx="22">
                  <c:v>1151</c:v>
                </c:pt>
                <c:pt idx="23">
                  <c:v>1060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D-4054-AD5A-FA41C64F5CE9}"/>
            </c:ext>
          </c:extLst>
        </c:ser>
        <c:ser>
          <c:idx val="1"/>
          <c:order val="1"/>
          <c:tx>
            <c:strRef>
              <c:f>'9.3.1-3'!$F$1</c:f>
              <c:strCache>
                <c:ptCount val="1"/>
                <c:pt idx="0">
                  <c:v>Seas. Forec.</c:v>
                </c:pt>
              </c:strCache>
            </c:strRef>
          </c:tx>
          <c:marker>
            <c:symbol val="none"/>
          </c:marker>
          <c:val>
            <c:numRef>
              <c:f>'9.3.1-3'!$F$2:$F$29</c:f>
              <c:numCache>
                <c:formatCode>0.00</c:formatCode>
                <c:ptCount val="28"/>
                <c:pt idx="4">
                  <c:v>1011.8833333333334</c:v>
                </c:pt>
                <c:pt idx="5">
                  <c:v>971.65499999999997</c:v>
                </c:pt>
                <c:pt idx="6">
                  <c:v>963.83216666666658</c:v>
                </c:pt>
                <c:pt idx="7">
                  <c:v>891.86654999999996</c:v>
                </c:pt>
                <c:pt idx="8">
                  <c:v>1067.1472602047095</c:v>
                </c:pt>
                <c:pt idx="9">
                  <c:v>1040.3937496550006</c:v>
                </c:pt>
                <c:pt idx="10">
                  <c:v>1030.2516782157936</c:v>
                </c:pt>
                <c:pt idx="11">
                  <c:v>937.80548979074865</c:v>
                </c:pt>
                <c:pt idx="12">
                  <c:v>1105.817807499421</c:v>
                </c:pt>
                <c:pt idx="13">
                  <c:v>1082.4098095225183</c:v>
                </c:pt>
                <c:pt idx="14">
                  <c:v>1088.5179689935653</c:v>
                </c:pt>
                <c:pt idx="15">
                  <c:v>1002.6832248617568</c:v>
                </c:pt>
                <c:pt idx="16">
                  <c:v>1157.1903390530276</c:v>
                </c:pt>
                <c:pt idx="17">
                  <c:v>1114.0762261903617</c:v>
                </c:pt>
                <c:pt idx="18">
                  <c:v>1123.2719364595059</c:v>
                </c:pt>
                <c:pt idx="19">
                  <c:v>1033.6912636299307</c:v>
                </c:pt>
                <c:pt idx="20">
                  <c:v>1079.0703675305488</c:v>
                </c:pt>
                <c:pt idx="21">
                  <c:v>1115.7147153192891</c:v>
                </c:pt>
                <c:pt idx="22">
                  <c:v>1146.08086198915</c:v>
                </c:pt>
                <c:pt idx="23">
                  <c:v>1067.9971259351059</c:v>
                </c:pt>
                <c:pt idx="24">
                  <c:v>1097.6214596794266</c:v>
                </c:pt>
                <c:pt idx="25">
                  <c:v>1090.2881263460933</c:v>
                </c:pt>
                <c:pt idx="26">
                  <c:v>1071.9547930127601</c:v>
                </c:pt>
                <c:pt idx="27">
                  <c:v>1079.7881263460933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D-4054-AD5A-FA41C64F5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727616"/>
        <c:axId val="161729152"/>
      </c:lineChart>
      <c:catAx>
        <c:axId val="161727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61729152"/>
        <c:crosses val="autoZero"/>
        <c:auto val="1"/>
        <c:lblAlgn val="ctr"/>
        <c:lblOffset val="100"/>
        <c:noMultiLvlLbl val="0"/>
      </c:catAx>
      <c:valAx>
        <c:axId val="161729152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6172761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'[1]HW example'!$D$1</c:f>
              <c:strCache>
                <c:ptCount val="1"/>
                <c:pt idx="0">
                  <c:v>Unadjusted Air RPMs, All Services (Thousands)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'[1]HW example'!$D$2:$D$73</c:f>
              <c:numCache>
                <c:formatCode>General</c:formatCode>
                <c:ptCount val="72"/>
                <c:pt idx="12">
                  <c:v>61630362</c:v>
                </c:pt>
                <c:pt idx="13">
                  <c:v>55391206</c:v>
                </c:pt>
                <c:pt idx="14">
                  <c:v>70158268</c:v>
                </c:pt>
                <c:pt idx="15">
                  <c:v>67683559</c:v>
                </c:pt>
                <c:pt idx="16">
                  <c:v>71711448</c:v>
                </c:pt>
                <c:pt idx="17">
                  <c:v>76057910</c:v>
                </c:pt>
                <c:pt idx="18">
                  <c:v>81423231</c:v>
                </c:pt>
                <c:pt idx="19">
                  <c:v>77247896</c:v>
                </c:pt>
                <c:pt idx="20">
                  <c:v>66345318</c:v>
                </c:pt>
                <c:pt idx="21">
                  <c:v>68177919</c:v>
                </c:pt>
                <c:pt idx="22">
                  <c:v>63492941</c:v>
                </c:pt>
                <c:pt idx="23">
                  <c:v>66595644</c:v>
                </c:pt>
                <c:pt idx="24">
                  <c:v>61940192</c:v>
                </c:pt>
                <c:pt idx="25">
                  <c:v>58243799</c:v>
                </c:pt>
                <c:pt idx="26">
                  <c:v>71696205</c:v>
                </c:pt>
                <c:pt idx="27">
                  <c:v>68669276</c:v>
                </c:pt>
                <c:pt idx="28">
                  <c:v>71887545</c:v>
                </c:pt>
                <c:pt idx="29">
                  <c:v>76760765</c:v>
                </c:pt>
                <c:pt idx="30">
                  <c:v>80499331</c:v>
                </c:pt>
                <c:pt idx="31">
                  <c:v>78609005</c:v>
                </c:pt>
                <c:pt idx="32">
                  <c:v>66008348</c:v>
                </c:pt>
                <c:pt idx="33">
                  <c:v>67677764</c:v>
                </c:pt>
                <c:pt idx="34">
                  <c:v>64039210</c:v>
                </c:pt>
                <c:pt idx="35">
                  <c:v>66702987</c:v>
                </c:pt>
                <c:pt idx="36">
                  <c:v>63139217</c:v>
                </c:pt>
                <c:pt idx="37">
                  <c:v>58109870</c:v>
                </c:pt>
                <c:pt idx="38">
                  <c:v>72764478</c:v>
                </c:pt>
                <c:pt idx="39">
                  <c:v>68453537</c:v>
                </c:pt>
                <c:pt idx="40">
                  <c:v>73574534</c:v>
                </c:pt>
                <c:pt idx="41">
                  <c:v>78467134</c:v>
                </c:pt>
                <c:pt idx="42">
                  <c:v>81974582</c:v>
                </c:pt>
                <c:pt idx="43">
                  <c:v>80007788</c:v>
                </c:pt>
                <c:pt idx="44">
                  <c:v>67203059</c:v>
                </c:pt>
                <c:pt idx="45">
                  <c:v>69727370</c:v>
                </c:pt>
                <c:pt idx="46">
                  <c:v>63611195</c:v>
                </c:pt>
                <c:pt idx="47">
                  <c:v>70967040</c:v>
                </c:pt>
                <c:pt idx="48">
                  <c:v>64743622</c:v>
                </c:pt>
                <c:pt idx="49">
                  <c:v>58474896</c:v>
                </c:pt>
                <c:pt idx="50">
                  <c:v>74237229</c:v>
                </c:pt>
                <c:pt idx="51">
                  <c:v>71278694</c:v>
                </c:pt>
                <c:pt idx="52">
                  <c:v>75712694</c:v>
                </c:pt>
                <c:pt idx="53">
                  <c:v>80063355</c:v>
                </c:pt>
                <c:pt idx="54">
                  <c:v>84404540</c:v>
                </c:pt>
                <c:pt idx="55">
                  <c:v>81957560</c:v>
                </c:pt>
                <c:pt idx="56">
                  <c:v>69028870</c:v>
                </c:pt>
                <c:pt idx="57">
                  <c:v>71887841</c:v>
                </c:pt>
                <c:pt idx="58">
                  <c:v>65654285</c:v>
                </c:pt>
                <c:pt idx="59">
                  <c:v>72233639</c:v>
                </c:pt>
                <c:pt idx="60">
                  <c:v>66538437</c:v>
                </c:pt>
                <c:pt idx="61">
                  <c:v>60331319</c:v>
                </c:pt>
                <c:pt idx="62">
                  <c:v>76270848</c:v>
                </c:pt>
                <c:pt idx="63">
                  <c:v>73607027</c:v>
                </c:pt>
                <c:pt idx="64">
                  <c:v>78501958</c:v>
                </c:pt>
                <c:pt idx="65">
                  <c:v>83253406</c:v>
                </c:pt>
                <c:pt idx="66">
                  <c:v>88951664</c:v>
                </c:pt>
                <c:pt idx="67">
                  <c:v>85855967</c:v>
                </c:pt>
                <c:pt idx="68">
                  <c:v>73017733</c:v>
                </c:pt>
                <c:pt idx="69">
                  <c:v>76678106</c:v>
                </c:pt>
                <c:pt idx="70">
                  <c:v>70460064</c:v>
                </c:pt>
                <c:pt idx="71">
                  <c:v>75327877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14-4BEB-9945-CA7E9CFE7E37}"/>
            </c:ext>
          </c:extLst>
        </c:ser>
        <c:ser>
          <c:idx val="1"/>
          <c:order val="1"/>
          <c:tx>
            <c:strRef>
              <c:f>'[1]HW example'!$J$1</c:f>
              <c:strCache>
                <c:ptCount val="1"/>
                <c:pt idx="0">
                  <c:v>H-W Forec.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'[1]HW example'!$J$2:$J$85</c:f>
              <c:numCache>
                <c:formatCode>General</c:formatCode>
                <c:ptCount val="84"/>
                <c:pt idx="24">
                  <c:v>65019124.088978954</c:v>
                </c:pt>
                <c:pt idx="25">
                  <c:v>57402127.956459068</c:v>
                </c:pt>
                <c:pt idx="26">
                  <c:v>72166011.16023834</c:v>
                </c:pt>
                <c:pt idx="27">
                  <c:v>68873845.528499663</c:v>
                </c:pt>
                <c:pt idx="28">
                  <c:v>72679567.440590218</c:v>
                </c:pt>
                <c:pt idx="29">
                  <c:v>76786319.814753905</c:v>
                </c:pt>
                <c:pt idx="30">
                  <c:v>81690929.062493309</c:v>
                </c:pt>
                <c:pt idx="31">
                  <c:v>77868728.021084234</c:v>
                </c:pt>
                <c:pt idx="32">
                  <c:v>66776145.118041776</c:v>
                </c:pt>
                <c:pt idx="33">
                  <c:v>68803711.29968904</c:v>
                </c:pt>
                <c:pt idx="34">
                  <c:v>63806483.164219692</c:v>
                </c:pt>
                <c:pt idx="35">
                  <c:v>67964264.878030896</c:v>
                </c:pt>
                <c:pt idx="36">
                  <c:v>63563178.112963073</c:v>
                </c:pt>
                <c:pt idx="37">
                  <c:v>58634355.992280848</c:v>
                </c:pt>
                <c:pt idx="38">
                  <c:v>72510349.331294402</c:v>
                </c:pt>
                <c:pt idx="39">
                  <c:v>69538100.134913534</c:v>
                </c:pt>
                <c:pt idx="40">
                  <c:v>72875375.469843879</c:v>
                </c:pt>
                <c:pt idx="41">
                  <c:v>77859407.741394207</c:v>
                </c:pt>
                <c:pt idx="42">
                  <c:v>82416238.067259014</c:v>
                </c:pt>
                <c:pt idx="43">
                  <c:v>79791658.09562321</c:v>
                </c:pt>
                <c:pt idx="44">
                  <c:v>67591498.368788958</c:v>
                </c:pt>
                <c:pt idx="45">
                  <c:v>69598495.266634196</c:v>
                </c:pt>
                <c:pt idx="46">
                  <c:v>65569537.702273928</c:v>
                </c:pt>
                <c:pt idx="47">
                  <c:v>68471826.363104478</c:v>
                </c:pt>
                <c:pt idx="48">
                  <c:v>64964391.497526079</c:v>
                </c:pt>
                <c:pt idx="49">
                  <c:v>59937228.910030536</c:v>
                </c:pt>
                <c:pt idx="50">
                  <c:v>74366458.843137875</c:v>
                </c:pt>
                <c:pt idx="51">
                  <c:v>70545936.178068534</c:v>
                </c:pt>
                <c:pt idx="52">
                  <c:v>75453450.612360954</c:v>
                </c:pt>
                <c:pt idx="53">
                  <c:v>80464235.834419146</c:v>
                </c:pt>
                <c:pt idx="54">
                  <c:v>84365198.336163163</c:v>
                </c:pt>
                <c:pt idx="55">
                  <c:v>82195935.115929872</c:v>
                </c:pt>
                <c:pt idx="56">
                  <c:v>69262214.769976899</c:v>
                </c:pt>
                <c:pt idx="57">
                  <c:v>71691797.727466494</c:v>
                </c:pt>
                <c:pt idx="58">
                  <c:v>66462123.807823412</c:v>
                </c:pt>
                <c:pt idx="59">
                  <c:v>72233643.017595202</c:v>
                </c:pt>
                <c:pt idx="60">
                  <c:v>66134845.309743211</c:v>
                </c:pt>
                <c:pt idx="61">
                  <c:v>60510821.879440948</c:v>
                </c:pt>
                <c:pt idx="62">
                  <c:v>76442878.341415733</c:v>
                </c:pt>
                <c:pt idx="63">
                  <c:v>73012979.35301666</c:v>
                </c:pt>
                <c:pt idx="64">
                  <c:v>77812573.370681211</c:v>
                </c:pt>
                <c:pt idx="65">
                  <c:v>82775699.175841346</c:v>
                </c:pt>
                <c:pt idx="66">
                  <c:v>87329875.019302443</c:v>
                </c:pt>
                <c:pt idx="67">
                  <c:v>85379502.976296619</c:v>
                </c:pt>
                <c:pt idx="68">
                  <c:v>72133915.06711787</c:v>
                </c:pt>
                <c:pt idx="69">
                  <c:v>75260407.314647391</c:v>
                </c:pt>
                <c:pt idx="70">
                  <c:v>69565188.188847318</c:v>
                </c:pt>
                <c:pt idx="71">
                  <c:v>76650942.127658278</c:v>
                </c:pt>
                <c:pt idx="72">
                  <c:v>69644729.432349548</c:v>
                </c:pt>
                <c:pt idx="73">
                  <c:v>63297486.345326714</c:v>
                </c:pt>
                <c:pt idx="74">
                  <c:v>79999591.022287965</c:v>
                </c:pt>
                <c:pt idx="75">
                  <c:v>76801626.747414574</c:v>
                </c:pt>
                <c:pt idx="76">
                  <c:v>81620528.706144959</c:v>
                </c:pt>
                <c:pt idx="77">
                  <c:v>86370874.400006294</c:v>
                </c:pt>
                <c:pt idx="78">
                  <c:v>91443435.976013869</c:v>
                </c:pt>
                <c:pt idx="79">
                  <c:v>88210843.627099603</c:v>
                </c:pt>
                <c:pt idx="80">
                  <c:v>74509845.275453866</c:v>
                </c:pt>
                <c:pt idx="81">
                  <c:v>77564146.311126947</c:v>
                </c:pt>
                <c:pt idx="82">
                  <c:v>70928045.914705828</c:v>
                </c:pt>
                <c:pt idx="83">
                  <c:v>76419796.019137055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14-4BEB-9945-CA7E9CFE7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6501840"/>
        <c:axId val="586501512"/>
      </c:lineChart>
      <c:catAx>
        <c:axId val="58650184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6501512"/>
        <c:crosses val="autoZero"/>
        <c:auto val="1"/>
        <c:lblAlgn val="ctr"/>
        <c:lblOffset val="100"/>
        <c:noMultiLvlLbl val="0"/>
      </c:catAx>
      <c:valAx>
        <c:axId val="586501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650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'9.4.1-5'!$D$14:$D$73</c:f>
              <c:numCache>
                <c:formatCode>_(* #,##0_);_(* \(#,##0\);_(* "-"??_);_(@_)</c:formatCode>
                <c:ptCount val="24"/>
                <c:pt idx="0">
                  <c:v>61630362</c:v>
                </c:pt>
                <c:pt idx="1">
                  <c:v>55391206</c:v>
                </c:pt>
                <c:pt idx="2">
                  <c:v>70158268</c:v>
                </c:pt>
                <c:pt idx="3">
                  <c:v>67683559</c:v>
                </c:pt>
                <c:pt idx="4">
                  <c:v>71711448</c:v>
                </c:pt>
                <c:pt idx="5">
                  <c:v>76057910</c:v>
                </c:pt>
                <c:pt idx="6">
                  <c:v>81423231</c:v>
                </c:pt>
                <c:pt idx="7">
                  <c:v>77247896</c:v>
                </c:pt>
                <c:pt idx="8">
                  <c:v>66345318</c:v>
                </c:pt>
                <c:pt idx="9">
                  <c:v>68177919</c:v>
                </c:pt>
                <c:pt idx="10">
                  <c:v>63492941</c:v>
                </c:pt>
                <c:pt idx="11">
                  <c:v>66595644</c:v>
                </c:pt>
                <c:pt idx="12">
                  <c:v>66538437</c:v>
                </c:pt>
                <c:pt idx="13">
                  <c:v>60331319</c:v>
                </c:pt>
                <c:pt idx="14">
                  <c:v>76270848</c:v>
                </c:pt>
                <c:pt idx="15">
                  <c:v>73607027</c:v>
                </c:pt>
                <c:pt idx="16">
                  <c:v>78501958</c:v>
                </c:pt>
                <c:pt idx="17">
                  <c:v>83253406</c:v>
                </c:pt>
                <c:pt idx="18">
                  <c:v>88951664</c:v>
                </c:pt>
                <c:pt idx="19">
                  <c:v>85855967</c:v>
                </c:pt>
                <c:pt idx="20">
                  <c:v>73017733</c:v>
                </c:pt>
                <c:pt idx="21">
                  <c:v>76678106</c:v>
                </c:pt>
                <c:pt idx="22">
                  <c:v>70460064</c:v>
                </c:pt>
                <c:pt idx="23">
                  <c:v>75327877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40-4345-82E8-7B6D2EB2853A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'9.4.1-5'!$J$14:$J$85</c:f>
              <c:numCache>
                <c:formatCode>0.00</c:formatCode>
                <c:ptCount val="36"/>
                <c:pt idx="12">
                  <c:v>66134845.309743211</c:v>
                </c:pt>
                <c:pt idx="13">
                  <c:v>60510821.879440948</c:v>
                </c:pt>
                <c:pt idx="14">
                  <c:v>76442878.341415733</c:v>
                </c:pt>
                <c:pt idx="15">
                  <c:v>73012979.35301666</c:v>
                </c:pt>
                <c:pt idx="16">
                  <c:v>77812573.370681211</c:v>
                </c:pt>
                <c:pt idx="17">
                  <c:v>82775699.175841346</c:v>
                </c:pt>
                <c:pt idx="18">
                  <c:v>87329875.019302443</c:v>
                </c:pt>
                <c:pt idx="19">
                  <c:v>85379502.976296619</c:v>
                </c:pt>
                <c:pt idx="20">
                  <c:v>72133915.06711787</c:v>
                </c:pt>
                <c:pt idx="21">
                  <c:v>75260407.314647391</c:v>
                </c:pt>
                <c:pt idx="22">
                  <c:v>69565188.188847318</c:v>
                </c:pt>
                <c:pt idx="23">
                  <c:v>76650942.127658278</c:v>
                </c:pt>
                <c:pt idx="24">
                  <c:v>69644729.432349548</c:v>
                </c:pt>
                <c:pt idx="25">
                  <c:v>63297486.345326714</c:v>
                </c:pt>
                <c:pt idx="26">
                  <c:v>79999591.022287965</c:v>
                </c:pt>
                <c:pt idx="27">
                  <c:v>76801626.747414574</c:v>
                </c:pt>
                <c:pt idx="28">
                  <c:v>81620528.706144959</c:v>
                </c:pt>
                <c:pt idx="29">
                  <c:v>86370874.400006294</c:v>
                </c:pt>
                <c:pt idx="30">
                  <c:v>91443435.976013869</c:v>
                </c:pt>
                <c:pt idx="31">
                  <c:v>88210843.627099603</c:v>
                </c:pt>
                <c:pt idx="32">
                  <c:v>74509845.275453866</c:v>
                </c:pt>
                <c:pt idx="33">
                  <c:v>77564146.311126947</c:v>
                </c:pt>
                <c:pt idx="34">
                  <c:v>70928045.914705828</c:v>
                </c:pt>
                <c:pt idx="35">
                  <c:v>76419796.019137055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40-4345-82E8-7B6D2EB28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125800"/>
        <c:axId val="672122192"/>
      </c:lineChart>
      <c:catAx>
        <c:axId val="6721258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122192"/>
        <c:crosses val="autoZero"/>
        <c:auto val="1"/>
        <c:lblAlgn val="ctr"/>
        <c:lblOffset val="100"/>
        <c:noMultiLvlLbl val="0"/>
      </c:catAx>
      <c:valAx>
        <c:axId val="672122192"/>
        <c:scaling>
          <c:orientation val="minMax"/>
          <c:min val="50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125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 &amp; I Components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'9.1.1-6'!$D$2:$D$24</c:f>
              <c:numCache>
                <c:formatCode>0.00</c:formatCode>
                <c:ptCount val="23"/>
                <c:pt idx="0">
                  <c:v>1.0346786096312723</c:v>
                </c:pt>
                <c:pt idx="1">
                  <c:v>1.0632611239201994</c:v>
                </c:pt>
                <c:pt idx="2">
                  <c:v>1.0655886419567557</c:v>
                </c:pt>
                <c:pt idx="3">
                  <c:v>0.97548327042147065</c:v>
                </c:pt>
                <c:pt idx="4">
                  <c:v>1.0130403037672913</c:v>
                </c:pt>
                <c:pt idx="5">
                  <c:v>1.1126351636509637</c:v>
                </c:pt>
                <c:pt idx="6">
                  <c:v>1.1772993327364867</c:v>
                </c:pt>
                <c:pt idx="7">
                  <c:v>1.1083671628395502</c:v>
                </c:pt>
                <c:pt idx="8">
                  <c:v>0.96601336268971361</c:v>
                </c:pt>
                <c:pt idx="9">
                  <c:v>0.88406490866811904</c:v>
                </c:pt>
                <c:pt idx="10">
                  <c:v>0.81180224014320745</c:v>
                </c:pt>
                <c:pt idx="11">
                  <c:v>0.81332846616672971</c:v>
                </c:pt>
                <c:pt idx="12">
                  <c:v>0.84003430118037203</c:v>
                </c:pt>
                <c:pt idx="13">
                  <c:v>0.89047709347161252</c:v>
                </c:pt>
                <c:pt idx="14">
                  <c:v>0.93941353985638631</c:v>
                </c:pt>
                <c:pt idx="15">
                  <c:v>1.0855907132378197</c:v>
                </c:pt>
                <c:pt idx="16">
                  <c:v>1.0879506486155925</c:v>
                </c:pt>
                <c:pt idx="17">
                  <c:v>1.0976834797476265</c:v>
                </c:pt>
                <c:pt idx="18">
                  <c:v>1.0749098822858933</c:v>
                </c:pt>
                <c:pt idx="19">
                  <c:v>1.0520279695491803</c:v>
                </c:pt>
                <c:pt idx="20">
                  <c:v>0.99639674518100296</c:v>
                </c:pt>
                <c:pt idx="21">
                  <c:v>0.98845013247916347</c:v>
                </c:pt>
                <c:pt idx="22">
                  <c:v>0.98787472379273555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0-4C89-B372-27C440A39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858944"/>
        <c:axId val="129877120"/>
      </c:lineChart>
      <c:catAx>
        <c:axId val="129858944"/>
        <c:scaling>
          <c:orientation val="minMax"/>
        </c:scaling>
        <c:delete val="0"/>
        <c:axPos val="b"/>
        <c:majorTickMark val="out"/>
        <c:minorTickMark val="none"/>
        <c:tickLblPos val="nextTo"/>
        <c:crossAx val="129877120"/>
        <c:crosses val="autoZero"/>
        <c:auto val="1"/>
        <c:lblAlgn val="ctr"/>
        <c:lblOffset val="100"/>
        <c:noMultiLvlLbl val="0"/>
      </c:catAx>
      <c:valAx>
        <c:axId val="12987712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29858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Cyclical component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'9.1.1-6'!$E$2:$E$24</c:f>
              <c:numCache>
                <c:formatCode>0.00</c:formatCode>
                <c:ptCount val="23"/>
                <c:pt idx="1">
                  <c:v>1.0545094585027426</c:v>
                </c:pt>
                <c:pt idx="2">
                  <c:v>1.034777678766142</c:v>
                </c:pt>
                <c:pt idx="3">
                  <c:v>1.0180374053818391</c:v>
                </c:pt>
                <c:pt idx="4">
                  <c:v>1.0337195792799085</c:v>
                </c:pt>
                <c:pt idx="5">
                  <c:v>1.1009916000515805</c:v>
                </c:pt>
                <c:pt idx="6">
                  <c:v>1.1327672197423335</c:v>
                </c:pt>
                <c:pt idx="7">
                  <c:v>1.0838932860885835</c:v>
                </c:pt>
                <c:pt idx="8">
                  <c:v>0.9861484780657942</c:v>
                </c:pt>
                <c:pt idx="9">
                  <c:v>0.88729350383367989</c:v>
                </c:pt>
                <c:pt idx="10">
                  <c:v>0.83639853832601874</c:v>
                </c:pt>
                <c:pt idx="11">
                  <c:v>0.82172166916343636</c:v>
                </c:pt>
                <c:pt idx="12">
                  <c:v>0.84794662027290479</c:v>
                </c:pt>
                <c:pt idx="13">
                  <c:v>0.88997497816945703</c:v>
                </c:pt>
                <c:pt idx="14">
                  <c:v>0.97182711552193946</c:v>
                </c:pt>
                <c:pt idx="15">
                  <c:v>1.0376516339032662</c:v>
                </c:pt>
                <c:pt idx="16">
                  <c:v>1.0904082805336797</c:v>
                </c:pt>
                <c:pt idx="17">
                  <c:v>1.0868480035497041</c:v>
                </c:pt>
                <c:pt idx="18">
                  <c:v>1.0748737771942334</c:v>
                </c:pt>
                <c:pt idx="19">
                  <c:v>1.0411115323386921</c:v>
                </c:pt>
                <c:pt idx="20">
                  <c:v>1.012291615736449</c:v>
                </c:pt>
                <c:pt idx="21">
                  <c:v>0.9909072004843007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CA-4742-8252-86C3CD3F2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888640"/>
        <c:axId val="129890176"/>
      </c:lineChart>
      <c:catAx>
        <c:axId val="129888640"/>
        <c:scaling>
          <c:orientation val="minMax"/>
        </c:scaling>
        <c:delete val="0"/>
        <c:axPos val="b"/>
        <c:majorTickMark val="out"/>
        <c:minorTickMark val="none"/>
        <c:tickLblPos val="nextTo"/>
        <c:crossAx val="129890176"/>
        <c:crosses val="autoZero"/>
        <c:auto val="1"/>
        <c:lblAlgn val="ctr"/>
        <c:lblOffset val="100"/>
        <c:noMultiLvlLbl val="0"/>
      </c:catAx>
      <c:valAx>
        <c:axId val="129890176"/>
        <c:scaling>
          <c:orientation val="minMax"/>
          <c:min val="0.70000000000000007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29888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Typical cyclical component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'9.1.1-6'!$G$2:$G$24</c:f>
              <c:numCache>
                <c:formatCode>0.00</c:formatCode>
                <c:ptCount val="23"/>
                <c:pt idx="1">
                  <c:v>0.93811556383308947</c:v>
                </c:pt>
                <c:pt idx="2">
                  <c:v>0.94136214951952346</c:v>
                </c:pt>
                <c:pt idx="3">
                  <c:v>0.95400619177564805</c:v>
                </c:pt>
                <c:pt idx="4">
                  <c:v>1.0027733474009239</c:v>
                </c:pt>
                <c:pt idx="5">
                  <c:v>1.0693216169774233</c:v>
                </c:pt>
                <c:pt idx="6">
                  <c:v>1.1115877501380065</c:v>
                </c:pt>
                <c:pt idx="7">
                  <c:v>1.0853706448191438</c:v>
                </c:pt>
                <c:pt idx="8">
                  <c:v>1.0305111276300138</c:v>
                </c:pt>
                <c:pt idx="9">
                  <c:v>0.96420251808618596</c:v>
                </c:pt>
                <c:pt idx="10">
                  <c:v>0.92434507703123381</c:v>
                </c:pt>
                <c:pt idx="11">
                  <c:v>0.90631443482386853</c:v>
                </c:pt>
                <c:pt idx="12">
                  <c:v>0.94136214951952346</c:v>
                </c:pt>
                <c:pt idx="13">
                  <c:v>0.95400619177564805</c:v>
                </c:pt>
                <c:pt idx="14">
                  <c:v>1.0027733474009239</c:v>
                </c:pt>
                <c:pt idx="15">
                  <c:v>1.0693216169774233</c:v>
                </c:pt>
                <c:pt idx="16">
                  <c:v>1.1115877501380065</c:v>
                </c:pt>
                <c:pt idx="17">
                  <c:v>1.0853706448191438</c:v>
                </c:pt>
                <c:pt idx="18">
                  <c:v>1.0305111276300138</c:v>
                </c:pt>
                <c:pt idx="19">
                  <c:v>0.96420251808618596</c:v>
                </c:pt>
                <c:pt idx="20">
                  <c:v>0.92434507703123381</c:v>
                </c:pt>
                <c:pt idx="21">
                  <c:v>0.90631443482386853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4A-4EA8-ACE1-DEF8FEFC1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191616"/>
        <c:axId val="160193152"/>
      </c:lineChart>
      <c:catAx>
        <c:axId val="160191616"/>
        <c:scaling>
          <c:orientation val="minMax"/>
        </c:scaling>
        <c:delete val="0"/>
        <c:axPos val="b"/>
        <c:majorTickMark val="out"/>
        <c:minorTickMark val="none"/>
        <c:tickLblPos val="nextTo"/>
        <c:crossAx val="160193152"/>
        <c:crosses val="autoZero"/>
        <c:auto val="1"/>
        <c:lblAlgn val="ctr"/>
        <c:lblOffset val="100"/>
        <c:noMultiLvlLbl val="0"/>
      </c:catAx>
      <c:valAx>
        <c:axId val="160193152"/>
        <c:scaling>
          <c:orientation val="minMax"/>
          <c:min val="0.85000000000000009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0191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Irregular component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'9.1.1-6'!$F$2</c:f>
              <c:strCache>
                <c:ptCount val="1"/>
              </c:strCache>
            </c:strRef>
          </c:tx>
          <c:marker>
            <c:symbol val="none"/>
          </c:marker>
          <c:val>
            <c:numRef>
              <c:f>'9.1.1-6'!$F$2:$F$24</c:f>
              <c:numCache>
                <c:formatCode>0.00</c:formatCode>
                <c:ptCount val="23"/>
                <c:pt idx="1">
                  <c:v>1.008299276357258</c:v>
                </c:pt>
                <c:pt idx="2">
                  <c:v>1.0297754424190444</c:v>
                </c:pt>
                <c:pt idx="3">
                  <c:v>0.95819983162170008</c:v>
                </c:pt>
                <c:pt idx="4">
                  <c:v>0.97999527538501063</c:v>
                </c:pt>
                <c:pt idx="5">
                  <c:v>1.0105755244625279</c:v>
                </c:pt>
                <c:pt idx="6">
                  <c:v>1.0393126780313104</c:v>
                </c:pt>
                <c:pt idx="7">
                  <c:v>1.0225795999154907</c:v>
                </c:pt>
                <c:pt idx="8">
                  <c:v>0.97958206515151447</c:v>
                </c:pt>
                <c:pt idx="9">
                  <c:v>0.99636129966960063</c:v>
                </c:pt>
                <c:pt idx="10">
                  <c:v>0.97059260979575757</c:v>
                </c:pt>
                <c:pt idx="11">
                  <c:v>0.98978583222071836</c:v>
                </c:pt>
                <c:pt idx="12">
                  <c:v>0.99066884765695951</c:v>
                </c:pt>
                <c:pt idx="13">
                  <c:v>1.0005641903586866</c:v>
                </c:pt>
                <c:pt idx="14">
                  <c:v>0.96664676757023316</c:v>
                </c:pt>
                <c:pt idx="15">
                  <c:v>1.0461995893113223</c:v>
                </c:pt>
                <c:pt idx="16">
                  <c:v>0.99774613604650519</c:v>
                </c:pt>
                <c:pt idx="17">
                  <c:v>1.0099696334377328</c:v>
                </c:pt>
                <c:pt idx="18">
                  <c:v>1.0000335900758079</c:v>
                </c:pt>
                <c:pt idx="19">
                  <c:v>1.0104853676781067</c:v>
                </c:pt>
                <c:pt idx="20">
                  <c:v>0.98429813078726092</c:v>
                </c:pt>
                <c:pt idx="21">
                  <c:v>0.99752038535602894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D4-48F8-9A4F-EE3AED401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234112"/>
        <c:axId val="160338304"/>
      </c:lineChart>
      <c:catAx>
        <c:axId val="160234112"/>
        <c:scaling>
          <c:orientation val="minMax"/>
        </c:scaling>
        <c:delete val="0"/>
        <c:axPos val="b"/>
        <c:majorTickMark val="out"/>
        <c:minorTickMark val="none"/>
        <c:tickLblPos val="nextTo"/>
        <c:crossAx val="160338304"/>
        <c:crosses val="autoZero"/>
        <c:auto val="1"/>
        <c:lblAlgn val="ctr"/>
        <c:lblOffset val="100"/>
        <c:noMultiLvlLbl val="0"/>
      </c:catAx>
      <c:valAx>
        <c:axId val="160338304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6023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'9.1.7-8'!$B$1</c:f>
              <c:strCache>
                <c:ptCount val="1"/>
                <c:pt idx="0">
                  <c:v>SERIES </c:v>
                </c:pt>
              </c:strCache>
            </c:strRef>
          </c:tx>
          <c:marker>
            <c:symbol val="none"/>
          </c:marker>
          <c:val>
            <c:numRef>
              <c:f>'9.1.7-8'!$B$2:$B$31</c:f>
              <c:numCache>
                <c:formatCode>General</c:formatCode>
                <c:ptCount val="30"/>
                <c:pt idx="0">
                  <c:v>41856</c:v>
                </c:pt>
                <c:pt idx="1">
                  <c:v>46689</c:v>
                </c:pt>
                <c:pt idx="2">
                  <c:v>50476</c:v>
                </c:pt>
                <c:pt idx="3">
                  <c:v>49581</c:v>
                </c:pt>
                <c:pt idx="4">
                  <c:v>54993</c:v>
                </c:pt>
                <c:pt idx="5">
                  <c:v>64247</c:v>
                </c:pt>
                <c:pt idx="6">
                  <c:v>72052</c:v>
                </c:pt>
                <c:pt idx="7">
                  <c:v>71666</c:v>
                </c:pt>
                <c:pt idx="8">
                  <c:v>65802</c:v>
                </c:pt>
                <c:pt idx="9">
                  <c:v>63277</c:v>
                </c:pt>
                <c:pt idx="10">
                  <c:v>60912</c:v>
                </c:pt>
                <c:pt idx="11">
                  <c:v>63839</c:v>
                </c:pt>
                <c:pt idx="12">
                  <c:v>68840</c:v>
                </c:pt>
                <c:pt idx="13">
                  <c:v>76053</c:v>
                </c:pt>
                <c:pt idx="14">
                  <c:v>83481</c:v>
                </c:pt>
                <c:pt idx="15">
                  <c:v>100225</c:v>
                </c:pt>
                <c:pt idx="16">
                  <c:v>104205</c:v>
                </c:pt>
                <c:pt idx="17">
                  <c:v>108933</c:v>
                </c:pt>
                <c:pt idx="18">
                  <c:v>110390</c:v>
                </c:pt>
                <c:pt idx="19">
                  <c:v>111678</c:v>
                </c:pt>
                <c:pt idx="20">
                  <c:v>109218</c:v>
                </c:pt>
                <c:pt idx="21">
                  <c:v>111765</c:v>
                </c:pt>
                <c:pt idx="22">
                  <c:v>115116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C-482B-AC25-AE5967885275}"/>
            </c:ext>
          </c:extLst>
        </c:ser>
        <c:ser>
          <c:idx val="1"/>
          <c:order val="1"/>
          <c:tx>
            <c:strRef>
              <c:f>'9.1.7-8'!$H$1</c:f>
              <c:strCache>
                <c:ptCount val="1"/>
                <c:pt idx="0">
                  <c:v>Recomposit.</c:v>
                </c:pt>
              </c:strCache>
            </c:strRef>
          </c:tx>
          <c:marker>
            <c:symbol val="none"/>
          </c:marker>
          <c:val>
            <c:numRef>
              <c:f>'9.1.7-8'!$H$2:$H$31</c:f>
              <c:numCache>
                <c:formatCode>0.00</c:formatCode>
                <c:ptCount val="30"/>
                <c:pt idx="1">
                  <c:v>41193.716740357748</c:v>
                </c:pt>
                <c:pt idx="2">
                  <c:v>44591.499935559368</c:v>
                </c:pt>
                <c:pt idx="3">
                  <c:v>48489.382061869248</c:v>
                </c:pt>
                <c:pt idx="4">
                  <c:v>54435.657188113873</c:v>
                </c:pt>
                <c:pt idx="5">
                  <c:v>61745.941680034921</c:v>
                </c:pt>
                <c:pt idx="6">
                  <c:v>68030.379654407356</c:v>
                </c:pt>
                <c:pt idx="7">
                  <c:v>70179.066323411986</c:v>
                </c:pt>
                <c:pt idx="8">
                  <c:v>70195.398779479248</c:v>
                </c:pt>
                <c:pt idx="9">
                  <c:v>69012.854303714528</c:v>
                </c:pt>
                <c:pt idx="10">
                  <c:v>69356.432574261125</c:v>
                </c:pt>
                <c:pt idx="11">
                  <c:v>71137.565708735681</c:v>
                </c:pt>
                <c:pt idx="12">
                  <c:v>77143.719347966748</c:v>
                </c:pt>
                <c:pt idx="13">
                  <c:v>81478.831331023262</c:v>
                </c:pt>
                <c:pt idx="14">
                  <c:v>89111.470361789936</c:v>
                </c:pt>
                <c:pt idx="15">
                  <c:v>98722.988097341964</c:v>
                </c:pt>
                <c:pt idx="16">
                  <c:v>106468.98519756152</c:v>
                </c:pt>
                <c:pt idx="17">
                  <c:v>107711.08669620064</c:v>
                </c:pt>
                <c:pt idx="18">
                  <c:v>105830.3819266786</c:v>
                </c:pt>
                <c:pt idx="19">
                  <c:v>102354.89162989904</c:v>
                </c:pt>
                <c:pt idx="20">
                  <c:v>101320.20313339948</c:v>
                </c:pt>
                <c:pt idx="21">
                  <c:v>102477.83826385895</c:v>
                </c:pt>
                <c:pt idx="22">
                  <c:v>109695.93876037416</c:v>
                </c:pt>
                <c:pt idx="23">
                  <c:v>114468.2806001773</c:v>
                </c:pt>
                <c:pt idx="24">
                  <c:v>123787.28353546598</c:v>
                </c:pt>
                <c:pt idx="25">
                  <c:v>135700.03451464899</c:v>
                </c:pt>
                <c:pt idx="26">
                  <c:v>144907.59074071571</c:v>
                </c:pt>
                <c:pt idx="27">
                  <c:v>145243.10706898928</c:v>
                </c:pt>
                <c:pt idx="28">
                  <c:v>141465.36507387794</c:v>
                </c:pt>
                <c:pt idx="29">
                  <c:v>135696.92895608355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AC-482B-AC25-AE5967885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047680"/>
        <c:axId val="55123968"/>
      </c:lineChart>
      <c:catAx>
        <c:axId val="55047680"/>
        <c:scaling>
          <c:orientation val="minMax"/>
        </c:scaling>
        <c:delete val="0"/>
        <c:axPos val="b"/>
        <c:majorTickMark val="out"/>
        <c:minorTickMark val="none"/>
        <c:tickLblPos val="nextTo"/>
        <c:crossAx val="55123968"/>
        <c:crosses val="autoZero"/>
        <c:auto val="1"/>
        <c:lblAlgn val="ctr"/>
        <c:lblOffset val="100"/>
        <c:noMultiLvlLbl val="0"/>
      </c:catAx>
      <c:valAx>
        <c:axId val="551239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50476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Seasona Indices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'9.1.9-15'!$G$65:$G$76</c:f>
              <c:numCache>
                <c:formatCode>0</c:formatCode>
                <c:ptCount val="12"/>
                <c:pt idx="0">
                  <c:v>79.852984438765731</c:v>
                </c:pt>
                <c:pt idx="1">
                  <c:v>83.071821764757587</c:v>
                </c:pt>
                <c:pt idx="2">
                  <c:v>98.662866114550837</c:v>
                </c:pt>
                <c:pt idx="3">
                  <c:v>106.77065639562925</c:v>
                </c:pt>
                <c:pt idx="4">
                  <c:v>115.16542175816214</c:v>
                </c:pt>
                <c:pt idx="5">
                  <c:v>111.9873476933024</c:v>
                </c:pt>
                <c:pt idx="6">
                  <c:v>110.06822304504912</c:v>
                </c:pt>
                <c:pt idx="7">
                  <c:v>107.86170825315614</c:v>
                </c:pt>
                <c:pt idx="8">
                  <c:v>107.1212419346694</c:v>
                </c:pt>
                <c:pt idx="9">
                  <c:v>105.3961240425381</c:v>
                </c:pt>
                <c:pt idx="10">
                  <c:v>90.590907349787457</c:v>
                </c:pt>
                <c:pt idx="11">
                  <c:v>83.450697209631784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58-498D-B052-D82AC5DDE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86368"/>
        <c:axId val="164479744"/>
      </c:barChart>
      <c:catAx>
        <c:axId val="54586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64479744"/>
        <c:crosses val="autoZero"/>
        <c:auto val="1"/>
        <c:lblAlgn val="ctr"/>
        <c:lblOffset val="100"/>
        <c:noMultiLvlLbl val="0"/>
      </c:catAx>
      <c:valAx>
        <c:axId val="164479744"/>
        <c:scaling>
          <c:orientation val="minMax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54586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Deseasonalized series and trend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'9.1.9-15'!$F$1</c:f>
              <c:strCache>
                <c:ptCount val="1"/>
                <c:pt idx="0">
                  <c:v>DESEASONAL</c:v>
                </c:pt>
              </c:strCache>
            </c:strRef>
          </c:tx>
          <c:marker>
            <c:symbol val="none"/>
          </c:marker>
          <c:trendline>
            <c:trendlineType val="linear"/>
            <c:dispRSqr val="0"/>
            <c:dispEq val="0"/>
          </c:trendline>
          <c:val>
            <c:numRef>
              <c:f>'9.1.9-15'!$F$2:$F$49</c:f>
              <c:numCache>
                <c:formatCode>0</c:formatCode>
                <c:ptCount val="48"/>
                <c:pt idx="0">
                  <c:v>138.25406874386627</c:v>
                </c:pt>
                <c:pt idx="1">
                  <c:v>144.93482560301638</c:v>
                </c:pt>
                <c:pt idx="2">
                  <c:v>140.07296305333887</c:v>
                </c:pt>
                <c:pt idx="3">
                  <c:v>139.36413338945368</c:v>
                </c:pt>
                <c:pt idx="4">
                  <c:v>143.70632909896887</c:v>
                </c:pt>
                <c:pt idx="5">
                  <c:v>143.14117023202527</c:v>
                </c:pt>
                <c:pt idx="6">
                  <c:v>141.63942660925187</c:v>
                </c:pt>
                <c:pt idx="7">
                  <c:v>136.28562200682433</c:v>
                </c:pt>
                <c:pt idx="8">
                  <c:v>145.25597088847849</c:v>
                </c:pt>
                <c:pt idx="9">
                  <c:v>139.28405938414889</c:v>
                </c:pt>
                <c:pt idx="10">
                  <c:v>146.81385129134821</c:v>
                </c:pt>
                <c:pt idx="11">
                  <c:v>147.51224868830926</c:v>
                </c:pt>
                <c:pt idx="12">
                  <c:v>147.52109871401672</c:v>
                </c:pt>
                <c:pt idx="13">
                  <c:v>132.05440505524001</c:v>
                </c:pt>
                <c:pt idx="14">
                  <c:v>149.19493604523504</c:v>
                </c:pt>
                <c:pt idx="15">
                  <c:v>141.61194199250937</c:v>
                </c:pt>
                <c:pt idx="16">
                  <c:v>143.27217100501431</c:v>
                </c:pt>
                <c:pt idx="17">
                  <c:v>155.82117408289713</c:v>
                </c:pt>
                <c:pt idx="18">
                  <c:v>159.71912250100371</c:v>
                </c:pt>
                <c:pt idx="19">
                  <c:v>151.86112166474709</c:v>
                </c:pt>
                <c:pt idx="20">
                  <c:v>159.91226101025944</c:v>
                </c:pt>
                <c:pt idx="21">
                  <c:v>164.6170592857618</c:v>
                </c:pt>
                <c:pt idx="22">
                  <c:v>169.66382664270841</c:v>
                </c:pt>
                <c:pt idx="23">
                  <c:v>172.7966389996279</c:v>
                </c:pt>
                <c:pt idx="24">
                  <c:v>155.91151774104483</c:v>
                </c:pt>
                <c:pt idx="25">
                  <c:v>152.15749133074144</c:v>
                </c:pt>
                <c:pt idx="26">
                  <c:v>176.1554339990615</c:v>
                </c:pt>
                <c:pt idx="27">
                  <c:v>168.1173517702079</c:v>
                </c:pt>
                <c:pt idx="28">
                  <c:v>162.89611685176172</c:v>
                </c:pt>
                <c:pt idx="29">
                  <c:v>153.85666644402966</c:v>
                </c:pt>
                <c:pt idx="30">
                  <c:v>165.35199257783091</c:v>
                </c:pt>
                <c:pt idx="31">
                  <c:v>172.35032061951458</c:v>
                </c:pt>
                <c:pt idx="32">
                  <c:v>153.09755286446321</c:v>
                </c:pt>
                <c:pt idx="33">
                  <c:v>172.01771094241278</c:v>
                </c:pt>
                <c:pt idx="34">
                  <c:v>152.44355536342246</c:v>
                </c:pt>
                <c:pt idx="35">
                  <c:v>168.00338965151062</c:v>
                </c:pt>
                <c:pt idx="36">
                  <c:v>178.95386253168923</c:v>
                </c:pt>
                <c:pt idx="37">
                  <c:v>179.48324333396792</c:v>
                </c:pt>
                <c:pt idx="38">
                  <c:v>158.31690903713121</c:v>
                </c:pt>
                <c:pt idx="39">
                  <c:v>172.89394505170125</c:v>
                </c:pt>
                <c:pt idx="40">
                  <c:v>171.83977358722623</c:v>
                </c:pt>
                <c:pt idx="41">
                  <c:v>172.16230580620382</c:v>
                </c:pt>
                <c:pt idx="42">
                  <c:v>170.4397461956103</c:v>
                </c:pt>
                <c:pt idx="43">
                  <c:v>178.00571037626034</c:v>
                </c:pt>
                <c:pt idx="44">
                  <c:v>175.4087206294673</c:v>
                </c:pt>
                <c:pt idx="45">
                  <c:v>171.16378959741459</c:v>
                </c:pt>
                <c:pt idx="46">
                  <c:v>177.39087144751622</c:v>
                </c:pt>
                <c:pt idx="47">
                  <c:v>162.97047783598751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7E-46EC-A9E5-4BE54C495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870848"/>
        <c:axId val="167873536"/>
      </c:lineChart>
      <c:catAx>
        <c:axId val="167870848"/>
        <c:scaling>
          <c:orientation val="minMax"/>
        </c:scaling>
        <c:delete val="0"/>
        <c:axPos val="b"/>
        <c:majorTickMark val="out"/>
        <c:minorTickMark val="none"/>
        <c:tickLblPos val="nextTo"/>
        <c:crossAx val="167873536"/>
        <c:crosses val="autoZero"/>
        <c:auto val="1"/>
        <c:lblAlgn val="ctr"/>
        <c:lblOffset val="100"/>
        <c:noMultiLvlLbl val="0"/>
      </c:catAx>
      <c:valAx>
        <c:axId val="167873536"/>
        <c:scaling>
          <c:orientation val="minMax"/>
          <c:min val="10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678708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Residuals</a:t>
            </a:r>
            <a:endParaRPr lang="en-US"/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'9.1.9-15'!$G$1</c:f>
              <c:strCache>
                <c:ptCount val="1"/>
                <c:pt idx="0">
                  <c:v>RESIDUAL</c:v>
                </c:pt>
              </c:strCache>
            </c:strRef>
          </c:tx>
          <c:marker>
            <c:symbol val="none"/>
          </c:marker>
          <c:val>
            <c:numRef>
              <c:f>'9.1.9-15'!$G$2:$G$49</c:f>
              <c:numCache>
                <c:formatCode>0</c:formatCode>
                <c:ptCount val="48"/>
                <c:pt idx="0">
                  <c:v>100.66395618148395</c:v>
                </c:pt>
                <c:pt idx="1">
                  <c:v>104.86224689319397</c:v>
                </c:pt>
                <c:pt idx="2">
                  <c:v>100.70901670881779</c:v>
                </c:pt>
                <c:pt idx="3">
                  <c:v>99.574876170895507</c:v>
                </c:pt>
                <c:pt idx="4">
                  <c:v>102.0413603169128</c:v>
                </c:pt>
                <c:pt idx="5">
                  <c:v>101.01436947172964</c:v>
                </c:pt>
                <c:pt idx="6">
                  <c:v>99.343043735214948</c:v>
                </c:pt>
                <c:pt idx="7">
                  <c:v>95.006716370623195</c:v>
                </c:pt>
                <c:pt idx="8">
                  <c:v>100.64803186768685</c:v>
                </c:pt>
                <c:pt idx="9">
                  <c:v>95.930255538935626</c:v>
                </c:pt>
                <c:pt idx="10">
                  <c:v>100.51243310036774</c:v>
                </c:pt>
                <c:pt idx="11">
                  <c:v>100.39102696119622</c:v>
                </c:pt>
                <c:pt idx="12">
                  <c:v>99.804544529773537</c:v>
                </c:pt>
                <c:pt idx="13">
                  <c:v>88.816481281205412</c:v>
                </c:pt>
                <c:pt idx="14">
                  <c:v>99.759484002439706</c:v>
                </c:pt>
                <c:pt idx="15">
                  <c:v>94.140002736096534</c:v>
                </c:pt>
                <c:pt idx="16">
                  <c:v>94.694551423363038</c:v>
                </c:pt>
                <c:pt idx="17">
                  <c:v>102.3983313452203</c:v>
                </c:pt>
                <c:pt idx="18">
                  <c:v>104.36162968023943</c:v>
                </c:pt>
                <c:pt idx="19">
                  <c:v>98.664786193787705</c:v>
                </c:pt>
                <c:pt idx="20">
                  <c:v>103.3101348946964</c:v>
                </c:pt>
                <c:pt idx="21">
                  <c:v>105.75365498908428</c:v>
                </c:pt>
                <c:pt idx="22">
                  <c:v>108.38840514654649</c:v>
                </c:pt>
                <c:pt idx="23">
                  <c:v>109.77801345926046</c:v>
                </c:pt>
                <c:pt idx="24">
                  <c:v>98.504965387493641</c:v>
                </c:pt>
                <c:pt idx="25">
                  <c:v>95.606253818063465</c:v>
                </c:pt>
                <c:pt idx="26">
                  <c:v>110.08169115599596</c:v>
                </c:pt>
                <c:pt idx="27">
                  <c:v>104.48900175921901</c:v>
                </c:pt>
                <c:pt idx="28">
                  <c:v>100.69792681125725</c:v>
                </c:pt>
                <c:pt idx="29">
                  <c:v>94.59986196745821</c:v>
                </c:pt>
                <c:pt idx="30">
                  <c:v>101.12545697604254</c:v>
                </c:pt>
                <c:pt idx="31">
                  <c:v>104.84612908120205</c:v>
                </c:pt>
                <c:pt idx="32">
                  <c:v>92.642448545331106</c:v>
                </c:pt>
                <c:pt idx="33">
                  <c:v>103.54485208300277</c:v>
                </c:pt>
                <c:pt idx="34">
                  <c:v>91.283012281561597</c:v>
                </c:pt>
                <c:pt idx="35">
                  <c:v>100.07747375006122</c:v>
                </c:pt>
                <c:pt idx="36">
                  <c:v>106.04946669421484</c:v>
                </c:pt>
                <c:pt idx="37">
                  <c:v>105.81617269585324</c:v>
                </c:pt>
                <c:pt idx="38">
                  <c:v>92.859781554932425</c:v>
                </c:pt>
                <c:pt idx="39">
                  <c:v>100.89362454036193</c:v>
                </c:pt>
                <c:pt idx="40">
                  <c:v>99.770573900000258</c:v>
                </c:pt>
                <c:pt idx="41">
                  <c:v>99.454131239527811</c:v>
                </c:pt>
                <c:pt idx="42">
                  <c:v>97.965383614836526</c:v>
                </c:pt>
                <c:pt idx="43">
                  <c:v>101.80371451746973</c:v>
                </c:pt>
                <c:pt idx="44">
                  <c:v>99.820468843570637</c:v>
                </c:pt>
                <c:pt idx="45">
                  <c:v>96.923648628254725</c:v>
                </c:pt>
                <c:pt idx="46">
                  <c:v>99.956067610889718</c:v>
                </c:pt>
                <c:pt idx="47">
                  <c:v>91.381305957931133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BE-441C-8AF6-19B58B63F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803904"/>
        <c:axId val="167830272"/>
      </c:lineChart>
      <c:catAx>
        <c:axId val="167803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67830272"/>
        <c:crosses val="autoZero"/>
        <c:auto val="1"/>
        <c:lblAlgn val="ctr"/>
        <c:lblOffset val="100"/>
        <c:noMultiLvlLbl val="0"/>
      </c:catAx>
      <c:valAx>
        <c:axId val="167830272"/>
        <c:scaling>
          <c:orientation val="minMax"/>
          <c:min val="8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167803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image" Target="../media/image1.png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1</xdr:row>
      <xdr:rowOff>57150</xdr:rowOff>
    </xdr:from>
    <xdr:to>
      <xdr:col>15</xdr:col>
      <xdr:colOff>333375</xdr:colOff>
      <xdr:row>15</xdr:row>
      <xdr:rowOff>133350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70054</xdr:colOff>
      <xdr:row>16</xdr:row>
      <xdr:rowOff>57150</xdr:rowOff>
    </xdr:from>
    <xdr:to>
      <xdr:col>15</xdr:col>
      <xdr:colOff>384072</xdr:colOff>
      <xdr:row>30</xdr:row>
      <xdr:rowOff>122903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520187</xdr:colOff>
      <xdr:row>1</xdr:row>
      <xdr:rowOff>139188</xdr:rowOff>
    </xdr:from>
    <xdr:to>
      <xdr:col>23</xdr:col>
      <xdr:colOff>210471</xdr:colOff>
      <xdr:row>16</xdr:row>
      <xdr:rowOff>24889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59916</xdr:colOff>
      <xdr:row>16</xdr:row>
      <xdr:rowOff>131814</xdr:rowOff>
    </xdr:from>
    <xdr:to>
      <xdr:col>23</xdr:col>
      <xdr:colOff>369632</xdr:colOff>
      <xdr:row>31</xdr:row>
      <xdr:rowOff>23659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526641</xdr:colOff>
      <xdr:row>24</xdr:row>
      <xdr:rowOff>158853</xdr:rowOff>
    </xdr:from>
    <xdr:to>
      <xdr:col>7</xdr:col>
      <xdr:colOff>728817</xdr:colOff>
      <xdr:row>39</xdr:row>
      <xdr:rowOff>50698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514350</xdr:colOff>
      <xdr:row>1</xdr:row>
      <xdr:rowOff>19050</xdr:rowOff>
    </xdr:from>
    <xdr:to>
      <xdr:col>16</xdr:col>
      <xdr:colOff>209550</xdr:colOff>
      <xdr:row>15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21167</xdr:colOff>
      <xdr:row>63</xdr:row>
      <xdr:rowOff>169334</xdr:rowOff>
    </xdr:from>
    <xdr:to>
      <xdr:col>15</xdr:col>
      <xdr:colOff>222250</xdr:colOff>
      <xdr:row>78</xdr:row>
      <xdr:rowOff>52917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116416</xdr:colOff>
      <xdr:row>48</xdr:row>
      <xdr:rowOff>116417</xdr:rowOff>
    </xdr:from>
    <xdr:to>
      <xdr:col>16</xdr:col>
      <xdr:colOff>391583</xdr:colOff>
      <xdr:row>63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52917</xdr:colOff>
      <xdr:row>32</xdr:row>
      <xdr:rowOff>179917</xdr:rowOff>
    </xdr:from>
    <xdr:to>
      <xdr:col>16</xdr:col>
      <xdr:colOff>328084</xdr:colOff>
      <xdr:row>47</xdr:row>
      <xdr:rowOff>63500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592667</xdr:colOff>
      <xdr:row>2</xdr:row>
      <xdr:rowOff>137584</xdr:rowOff>
    </xdr:from>
    <xdr:to>
      <xdr:col>17</xdr:col>
      <xdr:colOff>254000</xdr:colOff>
      <xdr:row>17</xdr:row>
      <xdr:rowOff>21167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210608</xdr:colOff>
      <xdr:row>2</xdr:row>
      <xdr:rowOff>152400</xdr:rowOff>
    </xdr:from>
    <xdr:to>
      <xdr:col>18</xdr:col>
      <xdr:colOff>511175</xdr:colOff>
      <xdr:row>17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74084</xdr:colOff>
      <xdr:row>2</xdr:row>
      <xdr:rowOff>105834</xdr:rowOff>
    </xdr:from>
    <xdr:to>
      <xdr:col>16</xdr:col>
      <xdr:colOff>349251</xdr:colOff>
      <xdr:row>16</xdr:row>
      <xdr:rowOff>179917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830580</xdr:colOff>
      <xdr:row>25</xdr:row>
      <xdr:rowOff>0</xdr:rowOff>
    </xdr:from>
    <xdr:to>
      <xdr:col>18</xdr:col>
      <xdr:colOff>129540</xdr:colOff>
      <xdr:row>40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18</xdr:col>
      <xdr:colOff>15240</xdr:colOff>
      <xdr:row>14</xdr:row>
      <xdr:rowOff>30480</xdr:rowOff>
    </xdr:from>
    <xdr:ext cx="2021579" cy="3184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700-000003000000}"/>
                </a:ext>
              </a:extLst>
            </xdr:cNvPr>
            <xdr:cNvSpPr txBox="1"/>
          </xdr:nvSpPr>
          <xdr:spPr>
            <a:xfrm>
              <a:off x="14249400" y="3162300"/>
              <a:ext cx="2021579" cy="31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𝑆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+(1−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𝛼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)(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3" name="TextBox 2"/>
            <xdr:cNvSpPr txBox="1"/>
          </xdr:nvSpPr>
          <xdr:spPr>
            <a:xfrm>
              <a:off x="14249400" y="3162300"/>
              <a:ext cx="2021579" cy="31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𝑎_𝑡=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𝛼 𝑦_𝑡/𝑆_𝑡 +(1−𝛼)(𝑎_(𝑡−1)+𝑏_(𝑡−1))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45720</xdr:colOff>
      <xdr:row>15</xdr:row>
      <xdr:rowOff>167640</xdr:rowOff>
    </xdr:from>
    <xdr:ext cx="199676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00000000-0008-0000-0700-000004000000}"/>
                </a:ext>
              </a:extLst>
            </xdr:cNvPr>
            <xdr:cNvSpPr txBox="1"/>
          </xdr:nvSpPr>
          <xdr:spPr>
            <a:xfrm>
              <a:off x="14279880" y="3482340"/>
              <a:ext cx="199676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𝛽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(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)+(1−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𝛽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)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4" name="TextBox 3"/>
            <xdr:cNvSpPr txBox="1"/>
          </xdr:nvSpPr>
          <xdr:spPr>
            <a:xfrm>
              <a:off x="14279880" y="3482340"/>
              <a:ext cx="199676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𝑏_𝑡=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𝛽(𝑎_𝑡+𝑎_(𝑡−1))+(1−𝛽)𝑏_(𝑡−1)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38100</xdr:colOff>
      <xdr:row>16</xdr:row>
      <xdr:rowOff>190500</xdr:rowOff>
    </xdr:from>
    <xdr:ext cx="1476558" cy="31842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700-000005000000}"/>
                </a:ext>
              </a:extLst>
            </xdr:cNvPr>
            <xdr:cNvSpPr txBox="1"/>
          </xdr:nvSpPr>
          <xdr:spPr>
            <a:xfrm>
              <a:off x="14272260" y="3688080"/>
              <a:ext cx="1476558" cy="31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𝛾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𝑦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</m:sub>
                        </m:sSub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𝛾</m:t>
                        </m:r>
                      </m:e>
                    </m:d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5" name="TextBox 4"/>
            <xdr:cNvSpPr txBox="1"/>
          </xdr:nvSpPr>
          <xdr:spPr>
            <a:xfrm>
              <a:off x="14272260" y="3688080"/>
              <a:ext cx="1476558" cy="31842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𝑆_𝑡=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𝛾 𝑦_𝑡/𝑎_𝑡 +(1−𝛾) 𝑆_(𝑡−𝑠)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18</xdr:col>
      <xdr:colOff>45720</xdr:colOff>
      <xdr:row>18</xdr:row>
      <xdr:rowOff>160020</xdr:rowOff>
    </xdr:from>
    <xdr:ext cx="1971374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700-000006000000}"/>
                </a:ext>
              </a:extLst>
            </xdr:cNvPr>
            <xdr:cNvSpPr txBox="1"/>
          </xdr:nvSpPr>
          <xdr:spPr>
            <a:xfrm>
              <a:off x="14279880" y="4038600"/>
              <a:ext cx="197137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10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</m:e>
                        </m:acc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+1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−12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𝑚𝑏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𝑡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−12</m:t>
                            </m:r>
                          </m:sub>
                        </m:sSub>
                      </m:e>
                    </m:d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𝑆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−12−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𝑠</m:t>
                        </m:r>
                      </m:sub>
                    </m:sSub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6" name="TextBox 5"/>
            <xdr:cNvSpPr txBox="1"/>
          </xdr:nvSpPr>
          <xdr:spPr>
            <a:xfrm>
              <a:off x="14279880" y="4038600"/>
              <a:ext cx="1971374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𝑦 ̂_(𝑡+1)=</a:t>
              </a:r>
              <a:r>
                <a:rPr lang="en-US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(𝑎_(𝑡−12)+〖𝑚𝑏〗_(𝑡−12) ) 𝑆_(𝑡−12−𝑠)</a:t>
              </a:r>
              <a:endParaRPr lang="en-US" sz="1100"/>
            </a:p>
          </xdr:txBody>
        </xdr:sp>
      </mc:Fallback>
    </mc:AlternateContent>
    <xdr:clientData/>
  </xdr:oneCellAnchor>
  <xdr:twoCellAnchor editAs="oneCell">
    <xdr:from>
      <xdr:col>22</xdr:col>
      <xdr:colOff>0</xdr:colOff>
      <xdr:row>1</xdr:row>
      <xdr:rowOff>0</xdr:rowOff>
    </xdr:from>
    <xdr:to>
      <xdr:col>33</xdr:col>
      <xdr:colOff>265828</xdr:colOff>
      <xdr:row>72</xdr:row>
      <xdr:rowOff>73482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72560" y="739140"/>
          <a:ext cx="6971428" cy="6504762"/>
        </a:xfrm>
        <a:prstGeom prst="rect">
          <a:avLst/>
        </a:prstGeom>
      </xdr:spPr>
    </xdr:pic>
    <xdr:clientData/>
  </xdr:twoCellAnchor>
  <xdr:twoCellAnchor>
    <xdr:from>
      <xdr:col>12</xdr:col>
      <xdr:colOff>76200</xdr:colOff>
      <xdr:row>65</xdr:row>
      <xdr:rowOff>38100</xdr:rowOff>
    </xdr:from>
    <xdr:to>
      <xdr:col>18</xdr:col>
      <xdr:colOff>63500</xdr:colOff>
      <xdr:row>80</xdr:row>
      <xdr:rowOff>114300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80CCCC9-475B-461A-AD8F-27A5FA063E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anko\Documents\Predict%20Analyt\Slides%20and%20workouts\Slides%20sheets%20Part2%20r3%20Mac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ide7&amp;8"/>
      <sheetName val="Slide7&amp;8opt"/>
      <sheetName val="Slide11"/>
      <sheetName val="Slide11opt"/>
      <sheetName val="Workout 5.1"/>
      <sheetName val="Workout 5.1 Solved"/>
      <sheetName val="Slide17"/>
      <sheetName val="Slide19"/>
      <sheetName val="Slide26"/>
      <sheetName val="Slide28"/>
      <sheetName val="Slide29"/>
      <sheetName val="Sheet8"/>
      <sheetName val="Sheet9"/>
      <sheetName val="Sheet6"/>
      <sheetName val="Sheet7"/>
      <sheetName val="State space"/>
      <sheetName val="State sp result"/>
      <sheetName val="ETS Printout"/>
      <sheetName val="ETS Example 1"/>
      <sheetName val="HW example"/>
      <sheetName val="HW workout"/>
      <sheetName val="Error correct"/>
      <sheetName val="Err corr worko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D1" t="str">
            <v>Unadjusted Air RPMs, All Services (Thousands)</v>
          </cell>
          <cell r="J1" t="str">
            <v>H-W Forec.</v>
          </cell>
        </row>
        <row r="14">
          <cell r="D14">
            <v>61630362</v>
          </cell>
        </row>
        <row r="15">
          <cell r="D15">
            <v>55391206</v>
          </cell>
        </row>
        <row r="16">
          <cell r="D16">
            <v>70158268</v>
          </cell>
        </row>
        <row r="17">
          <cell r="D17">
            <v>67683559</v>
          </cell>
        </row>
        <row r="18">
          <cell r="D18">
            <v>71711448</v>
          </cell>
        </row>
        <row r="19">
          <cell r="D19">
            <v>76057910</v>
          </cell>
        </row>
        <row r="20">
          <cell r="D20">
            <v>81423231</v>
          </cell>
        </row>
        <row r="21">
          <cell r="D21">
            <v>77247896</v>
          </cell>
        </row>
        <row r="22">
          <cell r="D22">
            <v>66345318</v>
          </cell>
        </row>
        <row r="23">
          <cell r="D23">
            <v>68177919</v>
          </cell>
        </row>
        <row r="24">
          <cell r="D24">
            <v>63492941</v>
          </cell>
        </row>
        <row r="25">
          <cell r="D25">
            <v>66595644</v>
          </cell>
        </row>
        <row r="26">
          <cell r="D26">
            <v>61940192</v>
          </cell>
          <cell r="J26">
            <v>65019124.088978954</v>
          </cell>
        </row>
        <row r="27">
          <cell r="D27">
            <v>58243799</v>
          </cell>
          <cell r="J27">
            <v>57402127.956459068</v>
          </cell>
        </row>
        <row r="28">
          <cell r="D28">
            <v>71696205</v>
          </cell>
          <cell r="J28">
            <v>72166011.16023834</v>
          </cell>
        </row>
        <row r="29">
          <cell r="D29">
            <v>68669276</v>
          </cell>
          <cell r="J29">
            <v>68873845.528499663</v>
          </cell>
        </row>
        <row r="30">
          <cell r="D30">
            <v>71887545</v>
          </cell>
          <cell r="J30">
            <v>72679567.440590218</v>
          </cell>
        </row>
        <row r="31">
          <cell r="D31">
            <v>76760765</v>
          </cell>
          <cell r="J31">
            <v>76786319.814753905</v>
          </cell>
        </row>
        <row r="32">
          <cell r="D32">
            <v>80499331</v>
          </cell>
          <cell r="J32">
            <v>81690929.062493309</v>
          </cell>
        </row>
        <row r="33">
          <cell r="D33">
            <v>78609005</v>
          </cell>
          <cell r="J33">
            <v>77868728.021084234</v>
          </cell>
        </row>
        <row r="34">
          <cell r="D34">
            <v>66008348</v>
          </cell>
          <cell r="J34">
            <v>66776145.118041776</v>
          </cell>
        </row>
        <row r="35">
          <cell r="D35">
            <v>67677764</v>
          </cell>
          <cell r="J35">
            <v>68803711.29968904</v>
          </cell>
        </row>
        <row r="36">
          <cell r="D36">
            <v>64039210</v>
          </cell>
          <cell r="J36">
            <v>63806483.164219692</v>
          </cell>
        </row>
        <row r="37">
          <cell r="D37">
            <v>66702987</v>
          </cell>
          <cell r="J37">
            <v>67964264.878030896</v>
          </cell>
        </row>
        <row r="38">
          <cell r="D38">
            <v>63139217</v>
          </cell>
          <cell r="J38">
            <v>63563178.112963073</v>
          </cell>
        </row>
        <row r="39">
          <cell r="D39">
            <v>58109870</v>
          </cell>
          <cell r="J39">
            <v>58634355.992280848</v>
          </cell>
        </row>
        <row r="40">
          <cell r="D40">
            <v>72764478</v>
          </cell>
          <cell r="J40">
            <v>72510349.331294402</v>
          </cell>
        </row>
        <row r="41">
          <cell r="D41">
            <v>68453537</v>
          </cell>
          <cell r="J41">
            <v>69538100.134913534</v>
          </cell>
        </row>
        <row r="42">
          <cell r="D42">
            <v>73574534</v>
          </cell>
          <cell r="J42">
            <v>72875375.469843879</v>
          </cell>
        </row>
        <row r="43">
          <cell r="D43">
            <v>78467134</v>
          </cell>
          <cell r="J43">
            <v>77859407.741394207</v>
          </cell>
        </row>
        <row r="44">
          <cell r="D44">
            <v>81974582</v>
          </cell>
          <cell r="J44">
            <v>82416238.067259014</v>
          </cell>
        </row>
        <row r="45">
          <cell r="D45">
            <v>80007788</v>
          </cell>
          <cell r="J45">
            <v>79791658.09562321</v>
          </cell>
        </row>
        <row r="46">
          <cell r="D46">
            <v>67203059</v>
          </cell>
          <cell r="J46">
            <v>67591498.368788958</v>
          </cell>
        </row>
        <row r="47">
          <cell r="D47">
            <v>69727370</v>
          </cell>
          <cell r="J47">
            <v>69598495.266634196</v>
          </cell>
        </row>
        <row r="48">
          <cell r="D48">
            <v>63611195</v>
          </cell>
          <cell r="J48">
            <v>65569537.702273928</v>
          </cell>
        </row>
        <row r="49">
          <cell r="D49">
            <v>70967040</v>
          </cell>
          <cell r="J49">
            <v>68471826.363104478</v>
          </cell>
        </row>
        <row r="50">
          <cell r="D50">
            <v>64743622</v>
          </cell>
          <cell r="J50">
            <v>64964391.497526079</v>
          </cell>
        </row>
        <row r="51">
          <cell r="D51">
            <v>58474896</v>
          </cell>
          <cell r="J51">
            <v>59937228.910030536</v>
          </cell>
        </row>
        <row r="52">
          <cell r="D52">
            <v>74237229</v>
          </cell>
          <cell r="J52">
            <v>74366458.843137875</v>
          </cell>
        </row>
        <row r="53">
          <cell r="D53">
            <v>71278694</v>
          </cell>
          <cell r="J53">
            <v>70545936.178068534</v>
          </cell>
        </row>
        <row r="54">
          <cell r="D54">
            <v>75712694</v>
          </cell>
          <cell r="J54">
            <v>75453450.612360954</v>
          </cell>
        </row>
        <row r="55">
          <cell r="D55">
            <v>80063355</v>
          </cell>
          <cell r="J55">
            <v>80464235.834419146</v>
          </cell>
        </row>
        <row r="56">
          <cell r="D56">
            <v>84404540</v>
          </cell>
          <cell r="J56">
            <v>84365198.336163163</v>
          </cell>
        </row>
        <row r="57">
          <cell r="D57">
            <v>81957560</v>
          </cell>
          <cell r="J57">
            <v>82195935.115929872</v>
          </cell>
        </row>
        <row r="58">
          <cell r="D58">
            <v>69028870</v>
          </cell>
          <cell r="J58">
            <v>69262214.769976899</v>
          </cell>
        </row>
        <row r="59">
          <cell r="D59">
            <v>71887841</v>
          </cell>
          <cell r="J59">
            <v>71691797.727466494</v>
          </cell>
        </row>
        <row r="60">
          <cell r="D60">
            <v>65654285</v>
          </cell>
          <cell r="J60">
            <v>66462123.807823412</v>
          </cell>
        </row>
        <row r="61">
          <cell r="D61">
            <v>72233639</v>
          </cell>
          <cell r="J61">
            <v>72233643.017595202</v>
          </cell>
        </row>
        <row r="62">
          <cell r="D62">
            <v>66538437</v>
          </cell>
          <cell r="J62">
            <v>66134845.309743211</v>
          </cell>
        </row>
        <row r="63">
          <cell r="D63">
            <v>60331319</v>
          </cell>
          <cell r="J63">
            <v>60510821.879440948</v>
          </cell>
        </row>
        <row r="64">
          <cell r="D64">
            <v>76270848</v>
          </cell>
          <cell r="J64">
            <v>76442878.341415733</v>
          </cell>
        </row>
        <row r="65">
          <cell r="D65">
            <v>73607027</v>
          </cell>
          <cell r="J65">
            <v>73012979.35301666</v>
          </cell>
        </row>
        <row r="66">
          <cell r="D66">
            <v>78501958</v>
          </cell>
          <cell r="J66">
            <v>77812573.370681211</v>
          </cell>
        </row>
        <row r="67">
          <cell r="D67">
            <v>83253406</v>
          </cell>
          <cell r="J67">
            <v>82775699.175841346</v>
          </cell>
        </row>
        <row r="68">
          <cell r="D68">
            <v>88951664</v>
          </cell>
          <cell r="J68">
            <v>87329875.019302443</v>
          </cell>
        </row>
        <row r="69">
          <cell r="D69">
            <v>85855967</v>
          </cell>
          <cell r="J69">
            <v>85379502.976296619</v>
          </cell>
        </row>
        <row r="70">
          <cell r="D70">
            <v>73017733</v>
          </cell>
          <cell r="J70">
            <v>72133915.06711787</v>
          </cell>
        </row>
        <row r="71">
          <cell r="D71">
            <v>76678106</v>
          </cell>
          <cell r="J71">
            <v>75260407.314647391</v>
          </cell>
        </row>
        <row r="72">
          <cell r="D72">
            <v>70460064</v>
          </cell>
          <cell r="J72">
            <v>69565188.188847318</v>
          </cell>
        </row>
        <row r="73">
          <cell r="D73">
            <v>75327877</v>
          </cell>
          <cell r="J73">
            <v>76650942.127658278</v>
          </cell>
        </row>
        <row r="74">
          <cell r="J74">
            <v>69644729.432349548</v>
          </cell>
        </row>
        <row r="75">
          <cell r="J75">
            <v>63297486.345326714</v>
          </cell>
        </row>
        <row r="76">
          <cell r="J76">
            <v>79999591.022287965</v>
          </cell>
        </row>
        <row r="77">
          <cell r="J77">
            <v>76801626.747414574</v>
          </cell>
        </row>
        <row r="78">
          <cell r="J78">
            <v>81620528.706144959</v>
          </cell>
        </row>
        <row r="79">
          <cell r="J79">
            <v>86370874.400006294</v>
          </cell>
        </row>
        <row r="80">
          <cell r="J80">
            <v>91443435.976013869</v>
          </cell>
        </row>
        <row r="81">
          <cell r="J81">
            <v>88210843.627099603</v>
          </cell>
        </row>
        <row r="82">
          <cell r="J82">
            <v>74509845.275453866</v>
          </cell>
        </row>
        <row r="83">
          <cell r="J83">
            <v>77564146.311126947</v>
          </cell>
        </row>
        <row r="84">
          <cell r="J84">
            <v>70928045.914705828</v>
          </cell>
        </row>
        <row r="85">
          <cell r="J85">
            <v>76419796.019137055</v>
          </cell>
        </row>
      </sheetData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zoomScale="95" zoomScaleNormal="95" workbookViewId="0">
      <selection activeCell="H13" sqref="H13"/>
    </sheetView>
  </sheetViews>
  <sheetFormatPr defaultRowHeight="14.4" x14ac:dyDescent="0.3"/>
  <cols>
    <col min="1" max="1" width="10.5546875" customWidth="1"/>
    <col min="2" max="2" width="9.6640625" customWidth="1"/>
    <col min="3" max="3" width="10.6640625" customWidth="1"/>
    <col min="4" max="4" width="6.44140625" customWidth="1"/>
    <col min="5" max="5" width="9.88671875" customWidth="1"/>
    <col min="6" max="6" width="6.21875" customWidth="1"/>
    <col min="7" max="7" width="8.109375" customWidth="1"/>
    <col min="8" max="8" width="12" customWidth="1"/>
  </cols>
  <sheetData>
    <row r="1" spans="1:9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72</v>
      </c>
      <c r="F1" s="2" t="s">
        <v>4</v>
      </c>
      <c r="G1" s="2" t="s">
        <v>5</v>
      </c>
      <c r="I1" t="s">
        <v>73</v>
      </c>
    </row>
    <row r="2" spans="1:9" x14ac:dyDescent="0.3">
      <c r="A2" s="3">
        <v>1</v>
      </c>
      <c r="B2">
        <v>41856</v>
      </c>
      <c r="C2" s="4">
        <f>TREND($B$2:$B$24,$A$2:$A$24,A2)</f>
        <v>40453.141304347824</v>
      </c>
      <c r="D2" s="4">
        <f>B2/C2</f>
        <v>1.0346786096312723</v>
      </c>
      <c r="E2" s="4"/>
      <c r="F2" s="4"/>
      <c r="G2" s="4"/>
    </row>
    <row r="3" spans="1:9" x14ac:dyDescent="0.3">
      <c r="A3" s="3">
        <v>2</v>
      </c>
      <c r="B3">
        <v>46689</v>
      </c>
      <c r="C3" s="4">
        <f t="shared" ref="C3:C24" si="0">TREND($B$2:$B$24,$A$2:$A$24,A3)</f>
        <v>43911.132411067192</v>
      </c>
      <c r="D3" s="4">
        <f t="shared" ref="D3:D24" si="1">B3/C3</f>
        <v>1.0632611239201994</v>
      </c>
      <c r="E3" s="4">
        <f t="shared" ref="E3:E22" si="2">SUM(D2:D4)/3</f>
        <v>1.0545094585027426</v>
      </c>
      <c r="F3" s="4">
        <f t="shared" ref="F3:F23" si="3">D3/E3</f>
        <v>1.008299276357258</v>
      </c>
      <c r="G3" s="4">
        <f t="shared" ref="G3:G7" si="4">(E3+E13)/2</f>
        <v>0.93811556383308947</v>
      </c>
    </row>
    <row r="4" spans="1:9" x14ac:dyDescent="0.3">
      <c r="A4" s="3">
        <v>3</v>
      </c>
      <c r="B4">
        <v>50476</v>
      </c>
      <c r="C4" s="4">
        <f t="shared" si="0"/>
        <v>47369.12351778656</v>
      </c>
      <c r="D4" s="4">
        <f t="shared" si="1"/>
        <v>1.0655886419567557</v>
      </c>
      <c r="E4" s="4">
        <f t="shared" si="2"/>
        <v>1.034777678766142</v>
      </c>
      <c r="F4" s="4">
        <f t="shared" si="3"/>
        <v>1.0297754424190444</v>
      </c>
      <c r="G4" s="4">
        <f t="shared" si="4"/>
        <v>0.94136214951952346</v>
      </c>
    </row>
    <row r="5" spans="1:9" x14ac:dyDescent="0.3">
      <c r="A5" s="3">
        <v>4</v>
      </c>
      <c r="B5">
        <v>49581</v>
      </c>
      <c r="C5" s="4">
        <f t="shared" si="0"/>
        <v>50827.114624505928</v>
      </c>
      <c r="D5" s="4">
        <f t="shared" si="1"/>
        <v>0.97548327042147065</v>
      </c>
      <c r="E5" s="4">
        <f t="shared" si="2"/>
        <v>1.0180374053818391</v>
      </c>
      <c r="F5" s="4">
        <f t="shared" si="3"/>
        <v>0.95819983162170008</v>
      </c>
      <c r="G5" s="4">
        <f t="shared" si="4"/>
        <v>0.95400619177564805</v>
      </c>
    </row>
    <row r="6" spans="1:9" x14ac:dyDescent="0.3">
      <c r="A6" s="3">
        <v>5</v>
      </c>
      <c r="B6">
        <v>54993</v>
      </c>
      <c r="C6" s="4">
        <f t="shared" si="0"/>
        <v>54285.105731225296</v>
      </c>
      <c r="D6" s="4">
        <f t="shared" si="1"/>
        <v>1.0130403037672913</v>
      </c>
      <c r="E6" s="4">
        <f t="shared" si="2"/>
        <v>1.0337195792799085</v>
      </c>
      <c r="F6" s="4">
        <f t="shared" si="3"/>
        <v>0.97999527538501063</v>
      </c>
      <c r="G6" s="4">
        <f t="shared" si="4"/>
        <v>1.0027733474009239</v>
      </c>
    </row>
    <row r="7" spans="1:9" x14ac:dyDescent="0.3">
      <c r="A7" s="3">
        <v>6</v>
      </c>
      <c r="B7">
        <v>64247</v>
      </c>
      <c r="C7" s="4">
        <f t="shared" si="0"/>
        <v>57743.096837944657</v>
      </c>
      <c r="D7" s="4">
        <f t="shared" si="1"/>
        <v>1.1126351636509637</v>
      </c>
      <c r="E7" s="4">
        <f t="shared" si="2"/>
        <v>1.1009916000515805</v>
      </c>
      <c r="F7" s="4">
        <f t="shared" si="3"/>
        <v>1.0105755244625279</v>
      </c>
      <c r="G7" s="4">
        <f t="shared" si="4"/>
        <v>1.0693216169774233</v>
      </c>
    </row>
    <row r="8" spans="1:9" x14ac:dyDescent="0.3">
      <c r="A8" s="3">
        <v>7</v>
      </c>
      <c r="B8">
        <v>72052</v>
      </c>
      <c r="C8" s="4">
        <f t="shared" si="0"/>
        <v>61201.087944664032</v>
      </c>
      <c r="D8" s="4">
        <f t="shared" si="1"/>
        <v>1.1772993327364867</v>
      </c>
      <c r="E8" s="4">
        <f t="shared" si="2"/>
        <v>1.1327672197423335</v>
      </c>
      <c r="F8" s="4">
        <f t="shared" si="3"/>
        <v>1.0393126780313104</v>
      </c>
      <c r="G8" s="4">
        <f>(E8+E18)/2</f>
        <v>1.1115877501380065</v>
      </c>
    </row>
    <row r="9" spans="1:9" x14ac:dyDescent="0.3">
      <c r="A9" s="3">
        <v>8</v>
      </c>
      <c r="B9">
        <v>71666</v>
      </c>
      <c r="C9" s="4">
        <f t="shared" si="0"/>
        <v>64659.079051383393</v>
      </c>
      <c r="D9" s="4">
        <f t="shared" si="1"/>
        <v>1.1083671628395502</v>
      </c>
      <c r="E9" s="4">
        <f t="shared" si="2"/>
        <v>1.0838932860885835</v>
      </c>
      <c r="F9" s="4">
        <f t="shared" si="3"/>
        <v>1.0225795999154907</v>
      </c>
      <c r="G9" s="4">
        <f t="shared" ref="G9:G13" si="5">(E9+E19)/2</f>
        <v>1.0853706448191438</v>
      </c>
    </row>
    <row r="10" spans="1:9" x14ac:dyDescent="0.3">
      <c r="A10" s="3">
        <v>9</v>
      </c>
      <c r="B10">
        <v>65802</v>
      </c>
      <c r="C10" s="4">
        <f t="shared" si="0"/>
        <v>68117.070158102768</v>
      </c>
      <c r="D10" s="4">
        <f t="shared" si="1"/>
        <v>0.96601336268971361</v>
      </c>
      <c r="E10" s="4">
        <f t="shared" si="2"/>
        <v>0.9861484780657942</v>
      </c>
      <c r="F10" s="4">
        <f t="shared" si="3"/>
        <v>0.97958206515151447</v>
      </c>
      <c r="G10" s="4">
        <f t="shared" si="5"/>
        <v>1.0305111276300138</v>
      </c>
    </row>
    <row r="11" spans="1:9" x14ac:dyDescent="0.3">
      <c r="A11" s="3">
        <v>10</v>
      </c>
      <c r="B11">
        <v>63277</v>
      </c>
      <c r="C11" s="4">
        <f t="shared" si="0"/>
        <v>71575.061264822129</v>
      </c>
      <c r="D11" s="4">
        <f t="shared" si="1"/>
        <v>0.88406490866811904</v>
      </c>
      <c r="E11" s="4">
        <f t="shared" si="2"/>
        <v>0.88729350383367989</v>
      </c>
      <c r="F11" s="4">
        <f t="shared" si="3"/>
        <v>0.99636129966960063</v>
      </c>
      <c r="G11" s="4">
        <f t="shared" si="5"/>
        <v>0.96420251808618596</v>
      </c>
    </row>
    <row r="12" spans="1:9" x14ac:dyDescent="0.3">
      <c r="A12" s="3">
        <v>11</v>
      </c>
      <c r="B12">
        <v>60912</v>
      </c>
      <c r="C12" s="4">
        <f t="shared" si="0"/>
        <v>75033.052371541504</v>
      </c>
      <c r="D12" s="4">
        <f t="shared" si="1"/>
        <v>0.81180224014320745</v>
      </c>
      <c r="E12" s="4">
        <f t="shared" si="2"/>
        <v>0.83639853832601874</v>
      </c>
      <c r="F12" s="4">
        <f t="shared" si="3"/>
        <v>0.97059260979575757</v>
      </c>
      <c r="G12" s="4">
        <f t="shared" si="5"/>
        <v>0.92434507703123381</v>
      </c>
    </row>
    <row r="13" spans="1:9" x14ac:dyDescent="0.3">
      <c r="A13" s="3">
        <v>12</v>
      </c>
      <c r="B13">
        <v>63839</v>
      </c>
      <c r="C13" s="4">
        <f t="shared" si="0"/>
        <v>78491.043478260865</v>
      </c>
      <c r="D13" s="4">
        <f t="shared" si="1"/>
        <v>0.81332846616672971</v>
      </c>
      <c r="E13" s="4">
        <f t="shared" si="2"/>
        <v>0.82172166916343636</v>
      </c>
      <c r="F13" s="4">
        <f t="shared" si="3"/>
        <v>0.98978583222071836</v>
      </c>
      <c r="G13" s="4">
        <f t="shared" si="5"/>
        <v>0.90631443482386853</v>
      </c>
    </row>
    <row r="14" spans="1:9" x14ac:dyDescent="0.3">
      <c r="A14" s="3">
        <v>13</v>
      </c>
      <c r="B14">
        <v>68840</v>
      </c>
      <c r="C14" s="4">
        <f t="shared" si="0"/>
        <v>81949.034584980225</v>
      </c>
      <c r="D14" s="4">
        <f t="shared" si="1"/>
        <v>0.84003430118037203</v>
      </c>
      <c r="E14" s="4">
        <f t="shared" si="2"/>
        <v>0.84794662027290479</v>
      </c>
      <c r="F14" s="4">
        <f t="shared" si="3"/>
        <v>0.99066884765695951</v>
      </c>
      <c r="G14" s="4">
        <f>(E14+E4)/2</f>
        <v>0.94136214951952346</v>
      </c>
    </row>
    <row r="15" spans="1:9" x14ac:dyDescent="0.3">
      <c r="A15" s="3">
        <v>14</v>
      </c>
      <c r="B15">
        <v>76053</v>
      </c>
      <c r="C15" s="4">
        <f t="shared" si="0"/>
        <v>85407.0256916996</v>
      </c>
      <c r="D15" s="4">
        <f t="shared" si="1"/>
        <v>0.89047709347161252</v>
      </c>
      <c r="E15" s="4">
        <f t="shared" si="2"/>
        <v>0.88997497816945703</v>
      </c>
      <c r="F15" s="4">
        <f t="shared" si="3"/>
        <v>1.0005641903586866</v>
      </c>
      <c r="G15" s="4">
        <f t="shared" ref="G15:G21" si="6">(E15+E5)/2</f>
        <v>0.95400619177564805</v>
      </c>
    </row>
    <row r="16" spans="1:9" x14ac:dyDescent="0.3">
      <c r="A16" s="3">
        <v>15</v>
      </c>
      <c r="B16">
        <v>83481</v>
      </c>
      <c r="C16" s="4">
        <f t="shared" si="0"/>
        <v>88865.016798418976</v>
      </c>
      <c r="D16" s="4">
        <f t="shared" si="1"/>
        <v>0.93941353985638631</v>
      </c>
      <c r="E16" s="4">
        <f t="shared" si="2"/>
        <v>0.97182711552193946</v>
      </c>
      <c r="F16" s="4">
        <f t="shared" si="3"/>
        <v>0.96664676757023316</v>
      </c>
      <c r="G16" s="4">
        <f t="shared" si="6"/>
        <v>1.0027733474009239</v>
      </c>
    </row>
    <row r="17" spans="1:7" x14ac:dyDescent="0.3">
      <c r="A17" s="3">
        <v>16</v>
      </c>
      <c r="B17">
        <v>100225</v>
      </c>
      <c r="C17" s="4">
        <f t="shared" si="0"/>
        <v>92323.007905138336</v>
      </c>
      <c r="D17" s="4">
        <f t="shared" si="1"/>
        <v>1.0855907132378197</v>
      </c>
      <c r="E17" s="4">
        <f t="shared" si="2"/>
        <v>1.0376516339032662</v>
      </c>
      <c r="F17" s="4">
        <f t="shared" si="3"/>
        <v>1.0461995893113223</v>
      </c>
      <c r="G17" s="4">
        <f t="shared" si="6"/>
        <v>1.0693216169774233</v>
      </c>
    </row>
    <row r="18" spans="1:7" x14ac:dyDescent="0.3">
      <c r="A18" s="3">
        <v>17</v>
      </c>
      <c r="B18">
        <v>104205</v>
      </c>
      <c r="C18" s="4">
        <f t="shared" si="0"/>
        <v>95780.999011857697</v>
      </c>
      <c r="D18" s="4">
        <f t="shared" si="1"/>
        <v>1.0879506486155925</v>
      </c>
      <c r="E18" s="4">
        <f t="shared" si="2"/>
        <v>1.0904082805336797</v>
      </c>
      <c r="F18" s="4">
        <f t="shared" si="3"/>
        <v>0.99774613604650519</v>
      </c>
      <c r="G18" s="4">
        <f t="shared" si="6"/>
        <v>1.1115877501380065</v>
      </c>
    </row>
    <row r="19" spans="1:7" x14ac:dyDescent="0.3">
      <c r="A19" s="3">
        <v>18</v>
      </c>
      <c r="B19">
        <v>108933</v>
      </c>
      <c r="C19" s="4">
        <f t="shared" si="0"/>
        <v>99238.990118577072</v>
      </c>
      <c r="D19" s="4">
        <f t="shared" si="1"/>
        <v>1.0976834797476265</v>
      </c>
      <c r="E19" s="4">
        <f t="shared" si="2"/>
        <v>1.0868480035497041</v>
      </c>
      <c r="F19" s="4">
        <f t="shared" si="3"/>
        <v>1.0099696334377328</v>
      </c>
      <c r="G19" s="4">
        <f t="shared" si="6"/>
        <v>1.0853706448191438</v>
      </c>
    </row>
    <row r="20" spans="1:7" x14ac:dyDescent="0.3">
      <c r="A20" s="3">
        <v>19</v>
      </c>
      <c r="B20">
        <v>110390</v>
      </c>
      <c r="C20" s="4">
        <f t="shared" si="0"/>
        <v>102696.98122529645</v>
      </c>
      <c r="D20" s="4">
        <f t="shared" si="1"/>
        <v>1.0749098822858933</v>
      </c>
      <c r="E20" s="4">
        <f t="shared" si="2"/>
        <v>1.0748737771942334</v>
      </c>
      <c r="F20" s="4">
        <f t="shared" si="3"/>
        <v>1.0000335900758079</v>
      </c>
      <c r="G20" s="4">
        <f t="shared" si="6"/>
        <v>1.0305111276300138</v>
      </c>
    </row>
    <row r="21" spans="1:7" x14ac:dyDescent="0.3">
      <c r="A21" s="13">
        <v>20</v>
      </c>
      <c r="B21">
        <v>111678</v>
      </c>
      <c r="C21" s="4">
        <f t="shared" si="0"/>
        <v>106154.97233201581</v>
      </c>
      <c r="D21" s="4">
        <f t="shared" si="1"/>
        <v>1.0520279695491803</v>
      </c>
      <c r="E21" s="4">
        <f t="shared" si="2"/>
        <v>1.0411115323386921</v>
      </c>
      <c r="F21" s="4">
        <f t="shared" si="3"/>
        <v>1.0104853676781067</v>
      </c>
      <c r="G21" s="4">
        <f t="shared" si="6"/>
        <v>0.96420251808618596</v>
      </c>
    </row>
    <row r="22" spans="1:7" x14ac:dyDescent="0.3">
      <c r="A22" s="13">
        <v>21</v>
      </c>
      <c r="B22">
        <v>109218</v>
      </c>
      <c r="C22" s="4">
        <f t="shared" si="0"/>
        <v>109612.96343873517</v>
      </c>
      <c r="D22" s="4">
        <f t="shared" si="1"/>
        <v>0.99639674518100296</v>
      </c>
      <c r="E22" s="4">
        <f t="shared" si="2"/>
        <v>1.012291615736449</v>
      </c>
      <c r="F22" s="4">
        <f t="shared" si="3"/>
        <v>0.98429813078726092</v>
      </c>
      <c r="G22" s="4">
        <f>(E22+E12)/2</f>
        <v>0.92434507703123381</v>
      </c>
    </row>
    <row r="23" spans="1:7" x14ac:dyDescent="0.3">
      <c r="A23" s="13">
        <v>22</v>
      </c>
      <c r="B23">
        <v>111765</v>
      </c>
      <c r="C23" s="4">
        <f t="shared" si="0"/>
        <v>113070.95454545453</v>
      </c>
      <c r="D23" s="4">
        <f t="shared" si="1"/>
        <v>0.98845013247916347</v>
      </c>
      <c r="E23" s="4">
        <f>SUM(D22:D24)/3</f>
        <v>0.9909072004843007</v>
      </c>
      <c r="F23" s="4">
        <f t="shared" si="3"/>
        <v>0.99752038535602894</v>
      </c>
      <c r="G23" s="4">
        <f>(E23+E13)/2</f>
        <v>0.90631443482386853</v>
      </c>
    </row>
    <row r="24" spans="1:7" x14ac:dyDescent="0.3">
      <c r="A24" s="13">
        <v>23</v>
      </c>
      <c r="B24">
        <v>115116</v>
      </c>
      <c r="C24" s="4">
        <f t="shared" si="0"/>
        <v>116528.94565217392</v>
      </c>
      <c r="D24" s="4">
        <f t="shared" si="1"/>
        <v>0.98787472379273555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workbookViewId="0">
      <selection activeCell="K24" sqref="K24"/>
    </sheetView>
  </sheetViews>
  <sheetFormatPr defaultRowHeight="14.4" x14ac:dyDescent="0.3"/>
  <cols>
    <col min="1" max="8" width="12" customWidth="1"/>
  </cols>
  <sheetData>
    <row r="1" spans="1:8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4</v>
      </c>
      <c r="G1" s="2" t="s">
        <v>5</v>
      </c>
      <c r="H1" s="82" t="s">
        <v>6</v>
      </c>
    </row>
    <row r="2" spans="1:8" x14ac:dyDescent="0.3">
      <c r="A2" s="3">
        <v>1</v>
      </c>
      <c r="B2">
        <v>41856</v>
      </c>
      <c r="C2" s="4">
        <f>TREND($B$2:$B$24,$A$2:$A$24,A2)</f>
        <v>40453.141304347824</v>
      </c>
      <c r="D2" s="4">
        <f t="shared" ref="D2:D24" si="0">B2/C2</f>
        <v>1.0346786096312723</v>
      </c>
      <c r="E2" s="4"/>
      <c r="F2" s="4"/>
      <c r="G2" s="4"/>
      <c r="H2" s="81"/>
    </row>
    <row r="3" spans="1:8" x14ac:dyDescent="0.3">
      <c r="A3" s="3">
        <v>2</v>
      </c>
      <c r="B3">
        <v>46689</v>
      </c>
      <c r="C3" s="4">
        <f t="shared" ref="C3:C31" si="1">TREND($B$2:$B$24,$A$2:$A$24,A3)</f>
        <v>43911.132411067192</v>
      </c>
      <c r="D3" s="4">
        <f t="shared" si="0"/>
        <v>1.0632611239201994</v>
      </c>
      <c r="E3" s="4">
        <f>SUM(D2:D4)/3</f>
        <v>1.0545094585027426</v>
      </c>
      <c r="F3" s="4">
        <f t="shared" ref="F3:F23" si="2">D3/E3</f>
        <v>1.008299276357258</v>
      </c>
      <c r="G3" s="4">
        <f t="shared" ref="G3:G13" si="3">(E3+E13)/2</f>
        <v>0.93811556383308947</v>
      </c>
      <c r="H3" s="81">
        <f t="shared" ref="H3:H31" si="4">C3*G3</f>
        <v>41193.716740357748</v>
      </c>
    </row>
    <row r="4" spans="1:8" x14ac:dyDescent="0.3">
      <c r="A4" s="3">
        <v>3</v>
      </c>
      <c r="B4">
        <v>50476</v>
      </c>
      <c r="C4" s="4">
        <f t="shared" si="1"/>
        <v>47369.12351778656</v>
      </c>
      <c r="D4" s="4">
        <f t="shared" si="0"/>
        <v>1.0655886419567557</v>
      </c>
      <c r="E4" s="4">
        <f t="shared" ref="E4:E23" si="5">SUM(D3:D5)/3</f>
        <v>1.034777678766142</v>
      </c>
      <c r="F4" s="4">
        <f t="shared" si="2"/>
        <v>1.0297754424190444</v>
      </c>
      <c r="G4" s="4">
        <f t="shared" si="3"/>
        <v>0.94136214951952346</v>
      </c>
      <c r="H4" s="81">
        <f t="shared" si="4"/>
        <v>44591.499935559368</v>
      </c>
    </row>
    <row r="5" spans="1:8" x14ac:dyDescent="0.3">
      <c r="A5" s="3">
        <v>4</v>
      </c>
      <c r="B5">
        <v>49581</v>
      </c>
      <c r="C5" s="4">
        <f t="shared" si="1"/>
        <v>50827.114624505928</v>
      </c>
      <c r="D5" s="4">
        <f t="shared" si="0"/>
        <v>0.97548327042147065</v>
      </c>
      <c r="E5" s="4">
        <f t="shared" si="5"/>
        <v>1.0180374053818391</v>
      </c>
      <c r="F5" s="4">
        <f t="shared" si="2"/>
        <v>0.95819983162170008</v>
      </c>
      <c r="G5" s="4">
        <f t="shared" si="3"/>
        <v>0.95400619177564805</v>
      </c>
      <c r="H5" s="81">
        <f t="shared" si="4"/>
        <v>48489.382061869248</v>
      </c>
    </row>
    <row r="6" spans="1:8" x14ac:dyDescent="0.3">
      <c r="A6" s="3">
        <v>5</v>
      </c>
      <c r="B6">
        <v>54993</v>
      </c>
      <c r="C6" s="4">
        <f t="shared" si="1"/>
        <v>54285.105731225296</v>
      </c>
      <c r="D6" s="4">
        <f t="shared" si="0"/>
        <v>1.0130403037672913</v>
      </c>
      <c r="E6" s="4">
        <f t="shared" si="5"/>
        <v>1.0337195792799085</v>
      </c>
      <c r="F6" s="4">
        <f t="shared" si="2"/>
        <v>0.97999527538501063</v>
      </c>
      <c r="G6" s="4">
        <f t="shared" si="3"/>
        <v>1.0027733474009239</v>
      </c>
      <c r="H6" s="81">
        <f t="shared" si="4"/>
        <v>54435.657188113873</v>
      </c>
    </row>
    <row r="7" spans="1:8" x14ac:dyDescent="0.3">
      <c r="A7" s="3">
        <v>6</v>
      </c>
      <c r="B7">
        <v>64247</v>
      </c>
      <c r="C7" s="4">
        <f t="shared" si="1"/>
        <v>57743.096837944657</v>
      </c>
      <c r="D7" s="4">
        <f t="shared" si="0"/>
        <v>1.1126351636509637</v>
      </c>
      <c r="E7" s="4">
        <f t="shared" si="5"/>
        <v>1.1009916000515805</v>
      </c>
      <c r="F7" s="4">
        <f t="shared" si="2"/>
        <v>1.0105755244625279</v>
      </c>
      <c r="G7" s="4">
        <f t="shared" si="3"/>
        <v>1.0693216169774233</v>
      </c>
      <c r="H7" s="81">
        <f t="shared" si="4"/>
        <v>61745.941680034921</v>
      </c>
    </row>
    <row r="8" spans="1:8" x14ac:dyDescent="0.3">
      <c r="A8" s="3">
        <v>7</v>
      </c>
      <c r="B8">
        <v>72052</v>
      </c>
      <c r="C8" s="4">
        <f t="shared" si="1"/>
        <v>61201.087944664032</v>
      </c>
      <c r="D8" s="4">
        <f t="shared" si="0"/>
        <v>1.1772993327364867</v>
      </c>
      <c r="E8" s="4">
        <f t="shared" si="5"/>
        <v>1.1327672197423335</v>
      </c>
      <c r="F8" s="4">
        <f t="shared" si="2"/>
        <v>1.0393126780313104</v>
      </c>
      <c r="G8" s="4">
        <f t="shared" si="3"/>
        <v>1.1115877501380065</v>
      </c>
      <c r="H8" s="81">
        <f t="shared" si="4"/>
        <v>68030.379654407356</v>
      </c>
    </row>
    <row r="9" spans="1:8" x14ac:dyDescent="0.3">
      <c r="A9" s="3">
        <v>8</v>
      </c>
      <c r="B9">
        <v>71666</v>
      </c>
      <c r="C9" s="4">
        <f t="shared" si="1"/>
        <v>64659.079051383393</v>
      </c>
      <c r="D9" s="4">
        <f t="shared" si="0"/>
        <v>1.1083671628395502</v>
      </c>
      <c r="E9" s="4">
        <f t="shared" si="5"/>
        <v>1.0838932860885835</v>
      </c>
      <c r="F9" s="4">
        <f t="shared" si="2"/>
        <v>1.0225795999154907</v>
      </c>
      <c r="G9" s="4">
        <f t="shared" si="3"/>
        <v>1.0853706448191438</v>
      </c>
      <c r="H9" s="81">
        <f t="shared" si="4"/>
        <v>70179.066323411986</v>
      </c>
    </row>
    <row r="10" spans="1:8" x14ac:dyDescent="0.3">
      <c r="A10" s="3">
        <v>9</v>
      </c>
      <c r="B10">
        <v>65802</v>
      </c>
      <c r="C10" s="4">
        <f t="shared" si="1"/>
        <v>68117.070158102768</v>
      </c>
      <c r="D10" s="4">
        <f t="shared" si="0"/>
        <v>0.96601336268971361</v>
      </c>
      <c r="E10" s="4">
        <f t="shared" si="5"/>
        <v>0.9861484780657942</v>
      </c>
      <c r="F10" s="4">
        <f t="shared" si="2"/>
        <v>0.97958206515151447</v>
      </c>
      <c r="G10" s="4">
        <f t="shared" si="3"/>
        <v>1.0305111276300138</v>
      </c>
      <c r="H10" s="81">
        <f t="shared" si="4"/>
        <v>70195.398779479248</v>
      </c>
    </row>
    <row r="11" spans="1:8" x14ac:dyDescent="0.3">
      <c r="A11" s="3">
        <v>10</v>
      </c>
      <c r="B11">
        <v>63277</v>
      </c>
      <c r="C11" s="4">
        <f t="shared" si="1"/>
        <v>71575.061264822129</v>
      </c>
      <c r="D11" s="4">
        <f t="shared" si="0"/>
        <v>0.88406490866811904</v>
      </c>
      <c r="E11" s="4">
        <f t="shared" si="5"/>
        <v>0.88729350383367989</v>
      </c>
      <c r="F11" s="4">
        <f t="shared" si="2"/>
        <v>0.99636129966960063</v>
      </c>
      <c r="G11" s="4">
        <f t="shared" si="3"/>
        <v>0.96420251808618596</v>
      </c>
      <c r="H11" s="81">
        <f t="shared" si="4"/>
        <v>69012.854303714528</v>
      </c>
    </row>
    <row r="12" spans="1:8" x14ac:dyDescent="0.3">
      <c r="A12" s="3">
        <v>11</v>
      </c>
      <c r="B12">
        <v>60912</v>
      </c>
      <c r="C12" s="4">
        <f t="shared" si="1"/>
        <v>75033.052371541504</v>
      </c>
      <c r="D12" s="4">
        <f t="shared" si="0"/>
        <v>0.81180224014320745</v>
      </c>
      <c r="E12" s="4">
        <f t="shared" si="5"/>
        <v>0.83639853832601874</v>
      </c>
      <c r="F12" s="4">
        <f t="shared" si="2"/>
        <v>0.97059260979575757</v>
      </c>
      <c r="G12" s="4">
        <f t="shared" si="3"/>
        <v>0.92434507703123381</v>
      </c>
      <c r="H12" s="81">
        <f t="shared" si="4"/>
        <v>69356.432574261125</v>
      </c>
    </row>
    <row r="13" spans="1:8" x14ac:dyDescent="0.3">
      <c r="A13" s="3">
        <v>12</v>
      </c>
      <c r="B13">
        <v>63839</v>
      </c>
      <c r="C13" s="4">
        <f t="shared" si="1"/>
        <v>78491.043478260865</v>
      </c>
      <c r="D13" s="4">
        <f t="shared" si="0"/>
        <v>0.81332846616672971</v>
      </c>
      <c r="E13" s="4">
        <f t="shared" si="5"/>
        <v>0.82172166916343636</v>
      </c>
      <c r="F13" s="4">
        <f t="shared" si="2"/>
        <v>0.98978583222071836</v>
      </c>
      <c r="G13" s="4">
        <f t="shared" si="3"/>
        <v>0.90631443482386853</v>
      </c>
      <c r="H13" s="81">
        <f t="shared" si="4"/>
        <v>71137.565708735681</v>
      </c>
    </row>
    <row r="14" spans="1:8" x14ac:dyDescent="0.3">
      <c r="A14" s="3">
        <v>13</v>
      </c>
      <c r="B14">
        <v>68840</v>
      </c>
      <c r="C14" s="4">
        <f t="shared" si="1"/>
        <v>81949.034584980225</v>
      </c>
      <c r="D14" s="4">
        <f t="shared" si="0"/>
        <v>0.84003430118037203</v>
      </c>
      <c r="E14" s="4">
        <f t="shared" si="5"/>
        <v>0.84794662027290479</v>
      </c>
      <c r="F14" s="4">
        <f t="shared" si="2"/>
        <v>0.99066884765695951</v>
      </c>
      <c r="G14" s="4">
        <f>(E14+E4)/2</f>
        <v>0.94136214951952346</v>
      </c>
      <c r="H14" s="81">
        <f t="shared" si="4"/>
        <v>77143.719347966748</v>
      </c>
    </row>
    <row r="15" spans="1:8" x14ac:dyDescent="0.3">
      <c r="A15" s="3">
        <v>14</v>
      </c>
      <c r="B15">
        <v>76053</v>
      </c>
      <c r="C15" s="4">
        <f t="shared" si="1"/>
        <v>85407.0256916996</v>
      </c>
      <c r="D15" s="4">
        <f t="shared" si="0"/>
        <v>0.89047709347161252</v>
      </c>
      <c r="E15" s="4">
        <f t="shared" si="5"/>
        <v>0.88997497816945703</v>
      </c>
      <c r="F15" s="4">
        <f t="shared" si="2"/>
        <v>1.0005641903586866</v>
      </c>
      <c r="G15" s="4">
        <f t="shared" ref="G15:G23" si="6">(E15+E5)/2</f>
        <v>0.95400619177564805</v>
      </c>
      <c r="H15" s="81">
        <f t="shared" si="4"/>
        <v>81478.831331023262</v>
      </c>
    </row>
    <row r="16" spans="1:8" x14ac:dyDescent="0.3">
      <c r="A16" s="3">
        <v>15</v>
      </c>
      <c r="B16">
        <v>83481</v>
      </c>
      <c r="C16" s="4">
        <f t="shared" si="1"/>
        <v>88865.016798418976</v>
      </c>
      <c r="D16" s="4">
        <f t="shared" si="0"/>
        <v>0.93941353985638631</v>
      </c>
      <c r="E16" s="4">
        <f t="shared" si="5"/>
        <v>0.97182711552193946</v>
      </c>
      <c r="F16" s="4">
        <f t="shared" si="2"/>
        <v>0.96664676757023316</v>
      </c>
      <c r="G16" s="4">
        <f t="shared" si="6"/>
        <v>1.0027733474009239</v>
      </c>
      <c r="H16" s="81">
        <f t="shared" si="4"/>
        <v>89111.470361789936</v>
      </c>
    </row>
    <row r="17" spans="1:8" x14ac:dyDescent="0.3">
      <c r="A17" s="3">
        <v>16</v>
      </c>
      <c r="B17">
        <v>100225</v>
      </c>
      <c r="C17" s="4">
        <f t="shared" si="1"/>
        <v>92323.007905138336</v>
      </c>
      <c r="D17" s="4">
        <f t="shared" si="0"/>
        <v>1.0855907132378197</v>
      </c>
      <c r="E17" s="4">
        <f t="shared" si="5"/>
        <v>1.0376516339032662</v>
      </c>
      <c r="F17" s="4">
        <f t="shared" si="2"/>
        <v>1.0461995893113223</v>
      </c>
      <c r="G17" s="4">
        <f t="shared" si="6"/>
        <v>1.0693216169774233</v>
      </c>
      <c r="H17" s="81">
        <f t="shared" si="4"/>
        <v>98722.988097341964</v>
      </c>
    </row>
    <row r="18" spans="1:8" x14ac:dyDescent="0.3">
      <c r="A18" s="3">
        <v>17</v>
      </c>
      <c r="B18">
        <v>104205</v>
      </c>
      <c r="C18" s="4">
        <f t="shared" si="1"/>
        <v>95780.999011857697</v>
      </c>
      <c r="D18" s="4">
        <f t="shared" si="0"/>
        <v>1.0879506486155925</v>
      </c>
      <c r="E18" s="4">
        <f t="shared" si="5"/>
        <v>1.0904082805336797</v>
      </c>
      <c r="F18" s="4">
        <f t="shared" si="2"/>
        <v>0.99774613604650519</v>
      </c>
      <c r="G18" s="4">
        <f t="shared" si="6"/>
        <v>1.1115877501380065</v>
      </c>
      <c r="H18" s="81">
        <f t="shared" si="4"/>
        <v>106468.98519756152</v>
      </c>
    </row>
    <row r="19" spans="1:8" x14ac:dyDescent="0.3">
      <c r="A19" s="3">
        <v>18</v>
      </c>
      <c r="B19">
        <v>108933</v>
      </c>
      <c r="C19" s="4">
        <f t="shared" si="1"/>
        <v>99238.990118577072</v>
      </c>
      <c r="D19" s="4">
        <f t="shared" si="0"/>
        <v>1.0976834797476265</v>
      </c>
      <c r="E19" s="4">
        <f t="shared" si="5"/>
        <v>1.0868480035497041</v>
      </c>
      <c r="F19" s="4">
        <f t="shared" si="2"/>
        <v>1.0099696334377328</v>
      </c>
      <c r="G19" s="4">
        <f t="shared" si="6"/>
        <v>1.0853706448191438</v>
      </c>
      <c r="H19" s="81">
        <f t="shared" si="4"/>
        <v>107711.08669620064</v>
      </c>
    </row>
    <row r="20" spans="1:8" x14ac:dyDescent="0.3">
      <c r="A20" s="3">
        <v>19</v>
      </c>
      <c r="B20">
        <v>110390</v>
      </c>
      <c r="C20" s="4">
        <f t="shared" si="1"/>
        <v>102696.98122529645</v>
      </c>
      <c r="D20" s="4">
        <f t="shared" si="0"/>
        <v>1.0749098822858933</v>
      </c>
      <c r="E20" s="4">
        <f t="shared" si="5"/>
        <v>1.0748737771942334</v>
      </c>
      <c r="F20" s="4">
        <f t="shared" si="2"/>
        <v>1.0000335900758079</v>
      </c>
      <c r="G20" s="4">
        <f t="shared" si="6"/>
        <v>1.0305111276300138</v>
      </c>
      <c r="H20" s="81">
        <f t="shared" si="4"/>
        <v>105830.3819266786</v>
      </c>
    </row>
    <row r="21" spans="1:8" x14ac:dyDescent="0.3">
      <c r="A21" s="13">
        <v>20</v>
      </c>
      <c r="B21" s="76">
        <v>111678</v>
      </c>
      <c r="C21" s="81">
        <f t="shared" si="1"/>
        <v>106154.97233201581</v>
      </c>
      <c r="D21" s="4">
        <f t="shared" si="0"/>
        <v>1.0520279695491803</v>
      </c>
      <c r="E21" s="4">
        <f t="shared" si="5"/>
        <v>1.0411115323386921</v>
      </c>
      <c r="F21" s="4">
        <f t="shared" si="2"/>
        <v>1.0104853676781067</v>
      </c>
      <c r="G21" s="4">
        <f t="shared" si="6"/>
        <v>0.96420251808618596</v>
      </c>
      <c r="H21" s="81">
        <f t="shared" si="4"/>
        <v>102354.89162989904</v>
      </c>
    </row>
    <row r="22" spans="1:8" x14ac:dyDescent="0.3">
      <c r="A22" s="12">
        <v>21</v>
      </c>
      <c r="B22" s="76">
        <v>109218</v>
      </c>
      <c r="C22" s="81">
        <f t="shared" si="1"/>
        <v>109612.96343873517</v>
      </c>
      <c r="D22" s="4">
        <f t="shared" si="0"/>
        <v>0.99639674518100296</v>
      </c>
      <c r="E22" s="4">
        <f t="shared" si="5"/>
        <v>1.012291615736449</v>
      </c>
      <c r="F22" s="4">
        <f t="shared" si="2"/>
        <v>0.98429813078726092</v>
      </c>
      <c r="G22" s="4">
        <f t="shared" si="6"/>
        <v>0.92434507703123381</v>
      </c>
      <c r="H22" s="81">
        <f t="shared" si="4"/>
        <v>101320.20313339948</v>
      </c>
    </row>
    <row r="23" spans="1:8" x14ac:dyDescent="0.3">
      <c r="A23" s="12">
        <v>22</v>
      </c>
      <c r="B23" s="76">
        <v>111765</v>
      </c>
      <c r="C23" s="81">
        <f t="shared" si="1"/>
        <v>113070.95454545453</v>
      </c>
      <c r="D23" s="4">
        <f t="shared" si="0"/>
        <v>0.98845013247916347</v>
      </c>
      <c r="E23" s="4">
        <f t="shared" si="5"/>
        <v>0.9909072004843007</v>
      </c>
      <c r="F23" s="4">
        <f t="shared" si="2"/>
        <v>0.99752038535602894</v>
      </c>
      <c r="G23" s="4">
        <f t="shared" si="6"/>
        <v>0.90631443482386853</v>
      </c>
      <c r="H23" s="81">
        <f t="shared" si="4"/>
        <v>102477.83826385895</v>
      </c>
    </row>
    <row r="24" spans="1:8" x14ac:dyDescent="0.3">
      <c r="A24" s="12">
        <v>23</v>
      </c>
      <c r="B24" s="76">
        <v>115116</v>
      </c>
      <c r="C24" s="81">
        <f t="shared" si="1"/>
        <v>116528.94565217392</v>
      </c>
      <c r="D24" s="4">
        <f t="shared" si="0"/>
        <v>0.98787472379273555</v>
      </c>
      <c r="E24" s="4"/>
      <c r="G24" s="81">
        <f>(E4+E14)/2</f>
        <v>0.94136214951952346</v>
      </c>
      <c r="H24" s="81">
        <f t="shared" si="4"/>
        <v>109695.93876037416</v>
      </c>
    </row>
    <row r="25" spans="1:8" x14ac:dyDescent="0.3">
      <c r="A25" s="12">
        <v>24</v>
      </c>
      <c r="B25" s="76"/>
      <c r="C25" s="81">
        <f t="shared" si="1"/>
        <v>119986.93675889328</v>
      </c>
      <c r="D25" s="76"/>
      <c r="E25" s="76"/>
      <c r="F25" s="76"/>
      <c r="G25" s="81">
        <f t="shared" ref="G25:G31" si="7">(E5+E15)/2</f>
        <v>0.95400619177564805</v>
      </c>
      <c r="H25" s="81">
        <f t="shared" si="4"/>
        <v>114468.2806001773</v>
      </c>
    </row>
    <row r="26" spans="1:8" x14ac:dyDescent="0.3">
      <c r="A26" s="12">
        <v>25</v>
      </c>
      <c r="B26" s="76"/>
      <c r="C26" s="81">
        <f t="shared" si="1"/>
        <v>123444.92786561264</v>
      </c>
      <c r="D26" s="76"/>
      <c r="E26" s="76"/>
      <c r="F26" s="76"/>
      <c r="G26" s="81">
        <f t="shared" si="7"/>
        <v>1.0027733474009239</v>
      </c>
      <c r="H26" s="81">
        <f t="shared" si="4"/>
        <v>123787.28353546598</v>
      </c>
    </row>
    <row r="27" spans="1:8" x14ac:dyDescent="0.3">
      <c r="A27" s="12">
        <v>26</v>
      </c>
      <c r="B27" s="76"/>
      <c r="C27" s="81">
        <f t="shared" si="1"/>
        <v>126902.918972332</v>
      </c>
      <c r="D27" s="76"/>
      <c r="E27" s="76"/>
      <c r="F27" s="76"/>
      <c r="G27" s="81">
        <f t="shared" si="7"/>
        <v>1.0693216169774233</v>
      </c>
      <c r="H27" s="81">
        <f t="shared" si="4"/>
        <v>135700.03451464899</v>
      </c>
    </row>
    <row r="28" spans="1:8" x14ac:dyDescent="0.3">
      <c r="A28" s="12">
        <v>27</v>
      </c>
      <c r="B28" s="76"/>
      <c r="C28" s="81">
        <f t="shared" si="1"/>
        <v>130360.91007905139</v>
      </c>
      <c r="D28" s="76"/>
      <c r="E28" s="76"/>
      <c r="F28" s="76"/>
      <c r="G28" s="81">
        <f t="shared" si="7"/>
        <v>1.1115877501380065</v>
      </c>
      <c r="H28" s="81">
        <f t="shared" si="4"/>
        <v>144907.59074071571</v>
      </c>
    </row>
    <row r="29" spans="1:8" x14ac:dyDescent="0.3">
      <c r="A29" s="12">
        <v>28</v>
      </c>
      <c r="B29" s="76"/>
      <c r="C29" s="81">
        <f t="shared" si="1"/>
        <v>133818.90118577075</v>
      </c>
      <c r="D29" s="76"/>
      <c r="E29" s="76"/>
      <c r="F29" s="76"/>
      <c r="G29" s="81">
        <f t="shared" si="7"/>
        <v>1.0853706448191438</v>
      </c>
      <c r="H29" s="81">
        <f t="shared" si="4"/>
        <v>145243.10706898928</v>
      </c>
    </row>
    <row r="30" spans="1:8" x14ac:dyDescent="0.3">
      <c r="A30" s="12">
        <v>29</v>
      </c>
      <c r="B30" s="76"/>
      <c r="C30" s="81">
        <f t="shared" si="1"/>
        <v>137276.89229249011</v>
      </c>
      <c r="D30" s="76"/>
      <c r="E30" s="76"/>
      <c r="F30" s="76"/>
      <c r="G30" s="81">
        <f t="shared" si="7"/>
        <v>1.0305111276300138</v>
      </c>
      <c r="H30" s="81">
        <f t="shared" si="4"/>
        <v>141465.36507387794</v>
      </c>
    </row>
    <row r="31" spans="1:8" x14ac:dyDescent="0.3">
      <c r="A31" s="12">
        <v>30</v>
      </c>
      <c r="C31" s="81">
        <f t="shared" si="1"/>
        <v>140734.88339920947</v>
      </c>
      <c r="G31" s="81">
        <f t="shared" si="7"/>
        <v>0.96420251808618596</v>
      </c>
      <c r="H31" s="81">
        <f t="shared" si="4"/>
        <v>135696.92895608355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opLeftCell="A49" zoomScale="90" zoomScaleNormal="90" workbookViewId="0">
      <selection activeCell="K26" sqref="K26"/>
    </sheetView>
  </sheetViews>
  <sheetFormatPr defaultRowHeight="14.4" x14ac:dyDescent="0.3"/>
  <cols>
    <col min="1" max="3" width="6.33203125" customWidth="1"/>
    <col min="4" max="4" width="18.77734375" customWidth="1"/>
    <col min="5" max="5" width="8.5546875" customWidth="1"/>
    <col min="6" max="6" width="9" customWidth="1"/>
    <col min="9" max="9" width="10.33203125" customWidth="1"/>
  </cols>
  <sheetData>
    <row r="1" spans="1:11" x14ac:dyDescent="0.3">
      <c r="A1" s="9" t="s">
        <v>7</v>
      </c>
      <c r="B1" s="10" t="s">
        <v>8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1" t="s">
        <v>14</v>
      </c>
      <c r="I1" s="12" t="s">
        <v>15</v>
      </c>
      <c r="K1" t="s">
        <v>75</v>
      </c>
    </row>
    <row r="2" spans="1:11" x14ac:dyDescent="0.3">
      <c r="A2" s="3" t="s">
        <v>27</v>
      </c>
      <c r="B2" s="13">
        <v>1</v>
      </c>
      <c r="C2" s="55">
        <v>110.4</v>
      </c>
      <c r="D2" s="14">
        <f>TREND($C$2:$C$49,$B$2:$B$49,B2)</f>
        <v>137.34217687074832</v>
      </c>
      <c r="E2" s="14">
        <f t="shared" ref="E2:E49" si="0">(C2/D2)*100</f>
        <v>80.383173265046324</v>
      </c>
      <c r="F2" s="14">
        <f t="shared" ref="F2:F13" si="1">(C2/G65)*100</f>
        <v>138.25406874386627</v>
      </c>
      <c r="G2" s="14">
        <f t="shared" ref="G2:G49" si="2">(F2/D2)*100</f>
        <v>100.66395618148395</v>
      </c>
      <c r="H2" s="15">
        <f t="shared" ref="H2:H13" si="3">D2*G65/100</f>
        <v>109.67182712446076</v>
      </c>
    </row>
    <row r="3" spans="1:11" x14ac:dyDescent="0.3">
      <c r="A3" s="3" t="s">
        <v>16</v>
      </c>
      <c r="B3" s="13">
        <v>2</v>
      </c>
      <c r="C3" s="55">
        <v>120.4</v>
      </c>
      <c r="D3" s="14">
        <f t="shared" ref="D3:D61" si="4">TREND($C$2:$C$49,$B$2:$B$49,B3)</f>
        <v>138.21449558546823</v>
      </c>
      <c r="E3" s="14">
        <f t="shared" si="0"/>
        <v>87.11097883763415</v>
      </c>
      <c r="F3" s="14">
        <f t="shared" si="1"/>
        <v>144.93482560301638</v>
      </c>
      <c r="G3" s="14">
        <f t="shared" si="2"/>
        <v>104.86224689319397</v>
      </c>
      <c r="H3" s="15">
        <f t="shared" si="3"/>
        <v>114.81729942581892</v>
      </c>
    </row>
    <row r="4" spans="1:11" x14ac:dyDescent="0.3">
      <c r="A4" s="3" t="s">
        <v>17</v>
      </c>
      <c r="B4" s="13">
        <v>3</v>
      </c>
      <c r="C4" s="55">
        <v>138.19999999999999</v>
      </c>
      <c r="D4" s="14">
        <f t="shared" si="4"/>
        <v>139.08681430018817</v>
      </c>
      <c r="E4" s="14">
        <f t="shared" si="0"/>
        <v>99.36240232070152</v>
      </c>
      <c r="F4" s="14">
        <f t="shared" si="1"/>
        <v>140.07296305333887</v>
      </c>
      <c r="G4" s="14">
        <f t="shared" si="2"/>
        <v>100.70901670881779</v>
      </c>
      <c r="H4" s="15">
        <f t="shared" si="3"/>
        <v>137.2270373759886</v>
      </c>
    </row>
    <row r="5" spans="1:11" x14ac:dyDescent="0.3">
      <c r="A5" s="3" t="s">
        <v>18</v>
      </c>
      <c r="B5" s="13">
        <v>4</v>
      </c>
      <c r="C5" s="55">
        <v>148.80000000000001</v>
      </c>
      <c r="D5" s="14">
        <f t="shared" si="4"/>
        <v>139.9591330149081</v>
      </c>
      <c r="E5" s="14">
        <f t="shared" si="0"/>
        <v>106.31674889280016</v>
      </c>
      <c r="F5" s="14">
        <f t="shared" si="1"/>
        <v>139.36413338945368</v>
      </c>
      <c r="G5" s="14">
        <f t="shared" si="2"/>
        <v>99.574876170895507</v>
      </c>
      <c r="H5" s="15">
        <f t="shared" si="3"/>
        <v>149.43528500564923</v>
      </c>
    </row>
    <row r="6" spans="1:11" x14ac:dyDescent="0.3">
      <c r="A6" s="3" t="s">
        <v>19</v>
      </c>
      <c r="B6" s="13">
        <v>5</v>
      </c>
      <c r="C6" s="55">
        <v>165.5</v>
      </c>
      <c r="D6" s="14">
        <f t="shared" si="4"/>
        <v>140.83145172962804</v>
      </c>
      <c r="E6" s="14">
        <f t="shared" si="0"/>
        <v>117.51636297673853</v>
      </c>
      <c r="F6" s="14">
        <f t="shared" si="1"/>
        <v>143.70632909896887</v>
      </c>
      <c r="G6" s="14">
        <f t="shared" si="2"/>
        <v>102.0413603169128</v>
      </c>
      <c r="H6" s="15">
        <f t="shared" si="3"/>
        <v>162.18913535256866</v>
      </c>
    </row>
    <row r="7" spans="1:11" x14ac:dyDescent="0.3">
      <c r="A7" s="3" t="s">
        <v>20</v>
      </c>
      <c r="B7" s="13">
        <v>6</v>
      </c>
      <c r="C7" s="55">
        <v>160.30000000000001</v>
      </c>
      <c r="D7" s="14">
        <f t="shared" si="4"/>
        <v>141.70377044434795</v>
      </c>
      <c r="E7" s="14">
        <f t="shared" si="0"/>
        <v>113.12331316050299</v>
      </c>
      <c r="F7" s="14">
        <f t="shared" si="1"/>
        <v>143.14117023202527</v>
      </c>
      <c r="G7" s="14">
        <f t="shared" si="2"/>
        <v>101.01436947172964</v>
      </c>
      <c r="H7" s="15">
        <f t="shared" si="3"/>
        <v>158.69029410203103</v>
      </c>
    </row>
    <row r="8" spans="1:11" x14ac:dyDescent="0.3">
      <c r="A8" s="3" t="s">
        <v>21</v>
      </c>
      <c r="B8" s="13">
        <v>7</v>
      </c>
      <c r="C8" s="28">
        <v>155.9</v>
      </c>
      <c r="D8" s="14">
        <f t="shared" si="4"/>
        <v>142.57608915906789</v>
      </c>
      <c r="E8" s="14">
        <f t="shared" si="0"/>
        <v>109.34512295821708</v>
      </c>
      <c r="F8" s="14">
        <f t="shared" si="1"/>
        <v>141.63942660925187</v>
      </c>
      <c r="G8" s="14">
        <f t="shared" si="2"/>
        <v>99.343043735214948</v>
      </c>
      <c r="H8" s="15">
        <f t="shared" si="3"/>
        <v>156.93096782451096</v>
      </c>
    </row>
    <row r="9" spans="1:11" x14ac:dyDescent="0.3">
      <c r="A9" s="3" t="s">
        <v>22</v>
      </c>
      <c r="B9" s="13">
        <v>8</v>
      </c>
      <c r="C9" s="55">
        <v>147</v>
      </c>
      <c r="D9" s="14">
        <f t="shared" si="4"/>
        <v>143.44840787378783</v>
      </c>
      <c r="E9" s="14">
        <f t="shared" si="0"/>
        <v>102.47586723258513</v>
      </c>
      <c r="F9" s="14">
        <f t="shared" si="1"/>
        <v>136.28562200682433</v>
      </c>
      <c r="G9" s="14">
        <f t="shared" si="2"/>
        <v>95.006716370623195</v>
      </c>
      <c r="H9" s="15">
        <f t="shared" si="3"/>
        <v>154.72590319462248</v>
      </c>
    </row>
    <row r="10" spans="1:11" x14ac:dyDescent="0.3">
      <c r="A10" s="3" t="s">
        <v>23</v>
      </c>
      <c r="B10" s="13">
        <v>9</v>
      </c>
      <c r="C10" s="28">
        <v>155.6</v>
      </c>
      <c r="D10" s="14">
        <f t="shared" si="4"/>
        <v>144.32072658850774</v>
      </c>
      <c r="E10" s="14">
        <f t="shared" si="0"/>
        <v>107.81542171946799</v>
      </c>
      <c r="F10" s="14">
        <f t="shared" si="1"/>
        <v>145.25597088847849</v>
      </c>
      <c r="G10" s="14">
        <f t="shared" si="2"/>
        <v>100.64803186768685</v>
      </c>
      <c r="H10" s="15">
        <f t="shared" si="3"/>
        <v>154.59815469074812</v>
      </c>
    </row>
    <row r="11" spans="1:11" x14ac:dyDescent="0.3">
      <c r="A11" s="3" t="s">
        <v>24</v>
      </c>
      <c r="B11" s="13">
        <v>10</v>
      </c>
      <c r="C11" s="28">
        <v>146.80000000000001</v>
      </c>
      <c r="D11" s="14">
        <f t="shared" si="4"/>
        <v>145.19304530322768</v>
      </c>
      <c r="E11" s="14">
        <f t="shared" si="0"/>
        <v>101.10677112214039</v>
      </c>
      <c r="F11" s="14">
        <f t="shared" si="1"/>
        <v>139.28405938414889</v>
      </c>
      <c r="G11" s="14">
        <f t="shared" si="2"/>
        <v>95.930255538935626</v>
      </c>
      <c r="H11" s="15">
        <f t="shared" si="3"/>
        <v>153.0278421289284</v>
      </c>
    </row>
    <row r="12" spans="1:11" x14ac:dyDescent="0.3">
      <c r="A12" s="3" t="s">
        <v>25</v>
      </c>
      <c r="B12" s="13">
        <v>11</v>
      </c>
      <c r="C12" s="28">
        <v>133</v>
      </c>
      <c r="D12" s="14">
        <f t="shared" si="4"/>
        <v>146.06536401794762</v>
      </c>
      <c r="E12" s="14">
        <f t="shared" si="0"/>
        <v>91.055125144971242</v>
      </c>
      <c r="F12" s="14">
        <f t="shared" si="1"/>
        <v>146.81385129134821</v>
      </c>
      <c r="G12" s="14">
        <f t="shared" si="2"/>
        <v>100.51243310036774</v>
      </c>
      <c r="H12" s="15">
        <f t="shared" si="3"/>
        <v>132.32193858762869</v>
      </c>
    </row>
    <row r="13" spans="1:11" x14ac:dyDescent="0.3">
      <c r="A13" s="3" t="s">
        <v>26</v>
      </c>
      <c r="B13" s="13">
        <v>12</v>
      </c>
      <c r="C13" s="55">
        <v>123.1</v>
      </c>
      <c r="D13" s="14">
        <f t="shared" si="4"/>
        <v>146.93768273266755</v>
      </c>
      <c r="E13" s="14">
        <f t="shared" si="0"/>
        <v>83.777011935027673</v>
      </c>
      <c r="F13" s="14">
        <f t="shared" si="1"/>
        <v>147.51224868830926</v>
      </c>
      <c r="G13" s="14">
        <f t="shared" si="2"/>
        <v>100.39102696119622</v>
      </c>
      <c r="H13" s="15">
        <f t="shared" si="3"/>
        <v>122.62052070408781</v>
      </c>
    </row>
    <row r="14" spans="1:11" x14ac:dyDescent="0.3">
      <c r="A14" s="3" t="s">
        <v>28</v>
      </c>
      <c r="B14" s="13">
        <v>13</v>
      </c>
      <c r="C14" s="28">
        <v>117.8</v>
      </c>
      <c r="D14" s="14">
        <f t="shared" si="4"/>
        <v>147.81000144738746</v>
      </c>
      <c r="E14" s="14">
        <f t="shared" si="0"/>
        <v>79.696907412541066</v>
      </c>
      <c r="F14" s="14">
        <f t="shared" ref="F14:F25" si="5">(C14/G65)*100</f>
        <v>147.52109871401672</v>
      </c>
      <c r="G14" s="14">
        <f t="shared" si="2"/>
        <v>99.804544529773537</v>
      </c>
      <c r="H14" s="15">
        <f t="shared" ref="H14:H25" si="6">D14*G65/100</f>
        <v>118.03069745472172</v>
      </c>
    </row>
    <row r="15" spans="1:11" x14ac:dyDescent="0.3">
      <c r="A15" s="3" t="s">
        <v>16</v>
      </c>
      <c r="B15" s="13">
        <v>14</v>
      </c>
      <c r="C15" s="28">
        <v>109.7</v>
      </c>
      <c r="D15" s="14">
        <f t="shared" si="4"/>
        <v>148.6823201621074</v>
      </c>
      <c r="E15" s="14">
        <f t="shared" si="0"/>
        <v>73.781469027652236</v>
      </c>
      <c r="F15" s="14">
        <f t="shared" si="5"/>
        <v>132.05440505524001</v>
      </c>
      <c r="G15" s="14">
        <f t="shared" si="2"/>
        <v>88.816481281205412</v>
      </c>
      <c r="H15" s="15">
        <f t="shared" si="6"/>
        <v>123.51311200077208</v>
      </c>
    </row>
    <row r="16" spans="1:11" x14ac:dyDescent="0.3">
      <c r="A16" s="3" t="s">
        <v>17</v>
      </c>
      <c r="B16" s="13">
        <v>15</v>
      </c>
      <c r="C16" s="28">
        <v>147.19999999999999</v>
      </c>
      <c r="D16" s="14">
        <f t="shared" si="4"/>
        <v>149.55463887682734</v>
      </c>
      <c r="E16" s="14">
        <f t="shared" si="0"/>
        <v>98.425566137893838</v>
      </c>
      <c r="F16" s="14">
        <f t="shared" si="5"/>
        <v>149.19493604523504</v>
      </c>
      <c r="G16" s="14">
        <f t="shared" si="2"/>
        <v>99.759484002439706</v>
      </c>
      <c r="H16" s="15">
        <f t="shared" si="6"/>
        <v>147.55489312314415</v>
      </c>
    </row>
    <row r="17" spans="1:8" x14ac:dyDescent="0.3">
      <c r="A17" s="3" t="s">
        <v>18</v>
      </c>
      <c r="B17" s="13">
        <v>16</v>
      </c>
      <c r="C17" s="28">
        <v>151.19999999999999</v>
      </c>
      <c r="D17" s="14">
        <f t="shared" si="4"/>
        <v>150.42695759154728</v>
      </c>
      <c r="E17" s="14">
        <f t="shared" si="0"/>
        <v>100.51389885219359</v>
      </c>
      <c r="F17" s="14">
        <f t="shared" si="5"/>
        <v>141.61194199250937</v>
      </c>
      <c r="G17" s="14">
        <f t="shared" si="2"/>
        <v>94.140002736096534</v>
      </c>
      <c r="H17" s="15">
        <f t="shared" si="6"/>
        <v>160.61185001646987</v>
      </c>
    </row>
    <row r="18" spans="1:8" x14ac:dyDescent="0.3">
      <c r="A18" s="3" t="s">
        <v>19</v>
      </c>
      <c r="B18" s="13">
        <v>17</v>
      </c>
      <c r="C18" s="55">
        <v>165</v>
      </c>
      <c r="D18" s="14">
        <f t="shared" si="4"/>
        <v>151.29927630626719</v>
      </c>
      <c r="E18" s="14">
        <f t="shared" si="0"/>
        <v>109.05537952871576</v>
      </c>
      <c r="F18" s="14">
        <f t="shared" si="5"/>
        <v>143.27217100501431</v>
      </c>
      <c r="G18" s="14">
        <f t="shared" si="2"/>
        <v>94.694551423363038</v>
      </c>
      <c r="H18" s="15">
        <f t="shared" si="6"/>
        <v>174.2444496751597</v>
      </c>
    </row>
    <row r="19" spans="1:8" x14ac:dyDescent="0.3">
      <c r="A19" s="3" t="s">
        <v>20</v>
      </c>
      <c r="B19" s="13">
        <v>18</v>
      </c>
      <c r="C19" s="55">
        <v>174.5</v>
      </c>
      <c r="D19" s="14">
        <f t="shared" si="4"/>
        <v>152.17159502098713</v>
      </c>
      <c r="E19" s="14">
        <f t="shared" si="0"/>
        <v>114.67317535571169</v>
      </c>
      <c r="F19" s="14">
        <f t="shared" si="5"/>
        <v>155.82117408289713</v>
      </c>
      <c r="G19" s="14">
        <f t="shared" si="2"/>
        <v>102.3983313452203</v>
      </c>
      <c r="H19" s="15">
        <f t="shared" si="6"/>
        <v>170.4129332065969</v>
      </c>
    </row>
    <row r="20" spans="1:8" x14ac:dyDescent="0.3">
      <c r="A20" s="3" t="s">
        <v>21</v>
      </c>
      <c r="B20" s="13">
        <v>19</v>
      </c>
      <c r="C20" s="28">
        <v>175.8</v>
      </c>
      <c r="D20" s="14">
        <f t="shared" si="4"/>
        <v>153.04391373570706</v>
      </c>
      <c r="E20" s="14">
        <f t="shared" si="0"/>
        <v>114.86899132989414</v>
      </c>
      <c r="F20" s="14">
        <f t="shared" si="5"/>
        <v>159.71912250100371</v>
      </c>
      <c r="G20" s="14">
        <f t="shared" si="2"/>
        <v>104.36162968023943</v>
      </c>
      <c r="H20" s="15">
        <f t="shared" si="6"/>
        <v>168.45271632749063</v>
      </c>
    </row>
    <row r="21" spans="1:8" x14ac:dyDescent="0.3">
      <c r="A21" s="3" t="s">
        <v>22</v>
      </c>
      <c r="B21" s="13">
        <v>20</v>
      </c>
      <c r="C21" s="55">
        <v>163.80000000000001</v>
      </c>
      <c r="D21" s="14">
        <f t="shared" si="4"/>
        <v>153.916232450427</v>
      </c>
      <c r="E21" s="14">
        <f t="shared" si="0"/>
        <v>106.42152383294359</v>
      </c>
      <c r="F21" s="14">
        <f t="shared" si="5"/>
        <v>151.86112166474709</v>
      </c>
      <c r="G21" s="14">
        <f t="shared" si="2"/>
        <v>98.664786193787705</v>
      </c>
      <c r="H21" s="15">
        <f t="shared" si="6"/>
        <v>166.01667759992921</v>
      </c>
    </row>
    <row r="22" spans="1:8" x14ac:dyDescent="0.3">
      <c r="A22" s="3" t="s">
        <v>23</v>
      </c>
      <c r="B22" s="13">
        <v>21</v>
      </c>
      <c r="C22" s="28">
        <v>171.3</v>
      </c>
      <c r="D22" s="14">
        <f t="shared" si="4"/>
        <v>154.78855116514691</v>
      </c>
      <c r="E22" s="14">
        <f t="shared" si="0"/>
        <v>110.66709954358105</v>
      </c>
      <c r="F22" s="14">
        <f t="shared" si="5"/>
        <v>159.91226101025944</v>
      </c>
      <c r="G22" s="14">
        <f t="shared" si="2"/>
        <v>103.3101348946964</v>
      </c>
      <c r="H22" s="15">
        <f t="shared" si="6"/>
        <v>165.81141838078656</v>
      </c>
    </row>
    <row r="23" spans="1:8" x14ac:dyDescent="0.3">
      <c r="A23" s="3" t="s">
        <v>24</v>
      </c>
      <c r="B23" s="13">
        <v>22</v>
      </c>
      <c r="C23" s="28">
        <v>173.5</v>
      </c>
      <c r="D23" s="14">
        <f t="shared" si="4"/>
        <v>155.66086987986685</v>
      </c>
      <c r="E23" s="14">
        <f t="shared" si="0"/>
        <v>111.46025339181304</v>
      </c>
      <c r="F23" s="14">
        <f t="shared" si="5"/>
        <v>164.6170592857618</v>
      </c>
      <c r="G23" s="14">
        <f t="shared" si="2"/>
        <v>105.75365498908428</v>
      </c>
      <c r="H23" s="15">
        <f t="shared" si="6"/>
        <v>164.06052350427831</v>
      </c>
    </row>
    <row r="24" spans="1:8" x14ac:dyDescent="0.3">
      <c r="A24" s="3" t="s">
        <v>25</v>
      </c>
      <c r="B24" s="13">
        <v>23</v>
      </c>
      <c r="C24" s="28">
        <v>153.69999999999999</v>
      </c>
      <c r="D24" s="14">
        <f t="shared" si="4"/>
        <v>156.53318859458679</v>
      </c>
      <c r="E24" s="14">
        <f t="shared" si="0"/>
        <v>98.190039684220181</v>
      </c>
      <c r="F24" s="14">
        <f t="shared" si="5"/>
        <v>169.66382664270841</v>
      </c>
      <c r="G24" s="14">
        <f t="shared" si="2"/>
        <v>108.38840514654649</v>
      </c>
      <c r="H24" s="15">
        <f t="shared" si="6"/>
        <v>141.80483585139018</v>
      </c>
    </row>
    <row r="25" spans="1:8" x14ac:dyDescent="0.3">
      <c r="A25" s="3" t="s">
        <v>26</v>
      </c>
      <c r="B25" s="13">
        <v>24</v>
      </c>
      <c r="C25" s="28">
        <v>144.19999999999999</v>
      </c>
      <c r="D25" s="14">
        <f t="shared" si="4"/>
        <v>157.4055073093067</v>
      </c>
      <c r="E25" s="14">
        <f t="shared" si="0"/>
        <v>91.610517614636265</v>
      </c>
      <c r="F25" s="14">
        <f t="shared" si="5"/>
        <v>172.7966389996279</v>
      </c>
      <c r="G25" s="14">
        <f t="shared" si="2"/>
        <v>109.77801345926046</v>
      </c>
      <c r="H25" s="15">
        <f t="shared" si="6"/>
        <v>131.35599329597437</v>
      </c>
    </row>
    <row r="26" spans="1:8" x14ac:dyDescent="0.3">
      <c r="A26" s="3" t="s">
        <v>29</v>
      </c>
      <c r="B26" s="13">
        <v>25</v>
      </c>
      <c r="C26" s="55">
        <v>124.5</v>
      </c>
      <c r="D26" s="14">
        <f t="shared" si="4"/>
        <v>158.27782602402664</v>
      </c>
      <c r="E26" s="14">
        <f t="shared" si="0"/>
        <v>78.659154682286854</v>
      </c>
      <c r="F26" s="14">
        <f t="shared" ref="F26:F37" si="7">(C26/G65)*100</f>
        <v>155.91151774104483</v>
      </c>
      <c r="G26" s="14">
        <f t="shared" si="2"/>
        <v>98.504965387493641</v>
      </c>
      <c r="H26" s="15">
        <f t="shared" ref="H26:H37" si="8">D26*G65/100</f>
        <v>126.38956778498269</v>
      </c>
    </row>
    <row r="27" spans="1:8" x14ac:dyDescent="0.3">
      <c r="A27" s="3" t="s">
        <v>16</v>
      </c>
      <c r="B27" s="13">
        <v>26</v>
      </c>
      <c r="C27" s="55">
        <v>126.4</v>
      </c>
      <c r="D27" s="14">
        <f t="shared" si="4"/>
        <v>159.15014473874658</v>
      </c>
      <c r="E27" s="14">
        <f t="shared" si="0"/>
        <v>79.421856767703432</v>
      </c>
      <c r="F27" s="14">
        <f t="shared" si="7"/>
        <v>152.15749133074144</v>
      </c>
      <c r="G27" s="14">
        <f t="shared" si="2"/>
        <v>95.606253818063465</v>
      </c>
      <c r="H27" s="15">
        <f t="shared" si="8"/>
        <v>132.20892457572529</v>
      </c>
    </row>
    <row r="28" spans="1:8" x14ac:dyDescent="0.3">
      <c r="A28" s="3" t="s">
        <v>17</v>
      </c>
      <c r="B28" s="13">
        <v>27</v>
      </c>
      <c r="C28" s="28">
        <v>173.8</v>
      </c>
      <c r="D28" s="14">
        <f t="shared" si="4"/>
        <v>160.02246345346651</v>
      </c>
      <c r="E28" s="14">
        <f t="shared" si="0"/>
        <v>108.60975156187362</v>
      </c>
      <c r="F28" s="14">
        <f t="shared" si="7"/>
        <v>176.1554339990615</v>
      </c>
      <c r="G28" s="14">
        <f t="shared" si="2"/>
        <v>110.08169115599596</v>
      </c>
      <c r="H28" s="15">
        <f t="shared" si="8"/>
        <v>157.88274887029971</v>
      </c>
    </row>
    <row r="29" spans="1:8" x14ac:dyDescent="0.3">
      <c r="A29" s="3" t="s">
        <v>18</v>
      </c>
      <c r="B29" s="13">
        <v>28</v>
      </c>
      <c r="C29" s="55">
        <v>179.5</v>
      </c>
      <c r="D29" s="14">
        <f t="shared" si="4"/>
        <v>160.89478216818642</v>
      </c>
      <c r="E29" s="14">
        <f t="shared" si="0"/>
        <v>111.56359303955871</v>
      </c>
      <c r="F29" s="14">
        <f t="shared" si="7"/>
        <v>168.1173517702079</v>
      </c>
      <c r="G29" s="14">
        <f t="shared" si="2"/>
        <v>104.48900175921901</v>
      </c>
      <c r="H29" s="15">
        <f t="shared" si="8"/>
        <v>171.78841502729045</v>
      </c>
    </row>
    <row r="30" spans="1:8" x14ac:dyDescent="0.3">
      <c r="A30" s="3" t="s">
        <v>19</v>
      </c>
      <c r="B30" s="13">
        <v>29</v>
      </c>
      <c r="C30" s="55">
        <v>187.6</v>
      </c>
      <c r="D30" s="14">
        <f t="shared" si="4"/>
        <v>161.76710088290636</v>
      </c>
      <c r="E30" s="14">
        <f t="shared" si="0"/>
        <v>115.96919211390981</v>
      </c>
      <c r="F30" s="14">
        <f t="shared" si="7"/>
        <v>162.89611685176172</v>
      </c>
      <c r="G30" s="14">
        <f t="shared" si="2"/>
        <v>100.69792681125725</v>
      </c>
      <c r="H30" s="15">
        <f t="shared" si="8"/>
        <v>186.29976399775074</v>
      </c>
    </row>
    <row r="31" spans="1:8" x14ac:dyDescent="0.3">
      <c r="A31" s="3" t="s">
        <v>20</v>
      </c>
      <c r="B31" s="13">
        <v>30</v>
      </c>
      <c r="C31" s="28">
        <v>172.3</v>
      </c>
      <c r="D31" s="14">
        <f t="shared" si="4"/>
        <v>162.6394195976263</v>
      </c>
      <c r="E31" s="14">
        <f t="shared" si="0"/>
        <v>105.93987633888156</v>
      </c>
      <c r="F31" s="14">
        <f t="shared" si="7"/>
        <v>153.85666644402966</v>
      </c>
      <c r="G31" s="14">
        <f t="shared" si="2"/>
        <v>94.59986196745821</v>
      </c>
      <c r="H31" s="15">
        <f t="shared" si="8"/>
        <v>182.13557231116275</v>
      </c>
    </row>
    <row r="32" spans="1:8" x14ac:dyDescent="0.3">
      <c r="A32" s="3" t="s">
        <v>21</v>
      </c>
      <c r="B32" s="13">
        <v>31</v>
      </c>
      <c r="C32" s="28">
        <v>182</v>
      </c>
      <c r="D32" s="14">
        <f t="shared" si="4"/>
        <v>163.51173831234621</v>
      </c>
      <c r="E32" s="14">
        <f t="shared" si="0"/>
        <v>111.30699353971568</v>
      </c>
      <c r="F32" s="14">
        <f t="shared" si="7"/>
        <v>165.35199257783091</v>
      </c>
      <c r="G32" s="14">
        <f t="shared" si="2"/>
        <v>101.12545697604254</v>
      </c>
      <c r="H32" s="15">
        <f t="shared" si="8"/>
        <v>179.97446483047028</v>
      </c>
    </row>
    <row r="33" spans="1:8" x14ac:dyDescent="0.3">
      <c r="A33" s="3" t="s">
        <v>22</v>
      </c>
      <c r="B33" s="13">
        <v>32</v>
      </c>
      <c r="C33" s="55">
        <v>185.9</v>
      </c>
      <c r="D33" s="14">
        <f t="shared" si="4"/>
        <v>164.38405702706615</v>
      </c>
      <c r="E33" s="14">
        <f t="shared" si="0"/>
        <v>113.08882586429365</v>
      </c>
      <c r="F33" s="14">
        <f t="shared" si="7"/>
        <v>172.35032061951458</v>
      </c>
      <c r="G33" s="14">
        <f t="shared" si="2"/>
        <v>104.84612908120205</v>
      </c>
      <c r="H33" s="15">
        <f t="shared" si="8"/>
        <v>177.30745200523589</v>
      </c>
    </row>
    <row r="34" spans="1:8" x14ac:dyDescent="0.3">
      <c r="A34" s="3" t="s">
        <v>23</v>
      </c>
      <c r="B34" s="13">
        <v>33</v>
      </c>
      <c r="C34" s="28">
        <v>164</v>
      </c>
      <c r="D34" s="14">
        <f t="shared" si="4"/>
        <v>165.25637574178609</v>
      </c>
      <c r="E34" s="14">
        <f t="shared" si="0"/>
        <v>99.239741440445741</v>
      </c>
      <c r="F34" s="14">
        <f t="shared" si="7"/>
        <v>153.09755286446321</v>
      </c>
      <c r="G34" s="14">
        <f t="shared" si="2"/>
        <v>92.642448545331106</v>
      </c>
      <c r="H34" s="15">
        <f t="shared" si="8"/>
        <v>177.02468207082501</v>
      </c>
    </row>
    <row r="35" spans="1:8" x14ac:dyDescent="0.3">
      <c r="A35" s="3" t="s">
        <v>24</v>
      </c>
      <c r="B35" s="13">
        <v>34</v>
      </c>
      <c r="C35" s="28">
        <v>181.3</v>
      </c>
      <c r="D35" s="14">
        <f t="shared" si="4"/>
        <v>166.12869445650603</v>
      </c>
      <c r="E35" s="14">
        <f t="shared" si="0"/>
        <v>109.13226074106419</v>
      </c>
      <c r="F35" s="14">
        <f t="shared" si="7"/>
        <v>172.01771094241278</v>
      </c>
      <c r="G35" s="14">
        <f t="shared" si="2"/>
        <v>103.54485208300277</v>
      </c>
      <c r="H35" s="15">
        <f t="shared" si="8"/>
        <v>175.09320487962822</v>
      </c>
    </row>
    <row r="36" spans="1:8" x14ac:dyDescent="0.3">
      <c r="A36" s="3" t="s">
        <v>25</v>
      </c>
      <c r="B36" s="13">
        <v>35</v>
      </c>
      <c r="C36" s="55">
        <v>138.1</v>
      </c>
      <c r="D36" s="14">
        <f t="shared" si="4"/>
        <v>167.00101317122594</v>
      </c>
      <c r="E36" s="14">
        <f t="shared" si="0"/>
        <v>82.694109082084566</v>
      </c>
      <c r="F36" s="14">
        <f t="shared" si="7"/>
        <v>152.44355536342246</v>
      </c>
      <c r="G36" s="14">
        <f t="shared" si="2"/>
        <v>91.283012281561597</v>
      </c>
      <c r="H36" s="15">
        <f t="shared" si="8"/>
        <v>151.28773311515164</v>
      </c>
    </row>
    <row r="37" spans="1:8" x14ac:dyDescent="0.3">
      <c r="A37" s="3" t="s">
        <v>26</v>
      </c>
      <c r="B37" s="13">
        <v>36</v>
      </c>
      <c r="C37" s="28">
        <v>140.19999999999999</v>
      </c>
      <c r="D37" s="14">
        <f t="shared" si="4"/>
        <v>167.87333188594587</v>
      </c>
      <c r="E37" s="14">
        <f t="shared" si="0"/>
        <v>83.515349594212324</v>
      </c>
      <c r="F37" s="14">
        <f t="shared" si="7"/>
        <v>168.00338965151062</v>
      </c>
      <c r="G37" s="14">
        <f t="shared" si="2"/>
        <v>100.07747375006122</v>
      </c>
      <c r="H37" s="15">
        <f t="shared" si="8"/>
        <v>140.09146588786095</v>
      </c>
    </row>
    <row r="38" spans="1:8" x14ac:dyDescent="0.3">
      <c r="A38" s="3" t="s">
        <v>30</v>
      </c>
      <c r="B38" s="13">
        <v>37</v>
      </c>
      <c r="C38" s="55">
        <v>142.9</v>
      </c>
      <c r="D38" s="14">
        <f t="shared" si="4"/>
        <v>168.74565060066581</v>
      </c>
      <c r="E38" s="14">
        <f t="shared" si="0"/>
        <v>84.683664136725412</v>
      </c>
      <c r="F38" s="14">
        <f t="shared" ref="F38:F49" si="9">(C38/G65)*100</f>
        <v>178.95386253168923</v>
      </c>
      <c r="G38" s="14">
        <f t="shared" si="2"/>
        <v>106.04946669421484</v>
      </c>
      <c r="H38" s="15">
        <f t="shared" ref="H38:H49" si="10">D38*G65/100</f>
        <v>134.74843811524366</v>
      </c>
    </row>
    <row r="39" spans="1:8" x14ac:dyDescent="0.3">
      <c r="A39" s="3" t="s">
        <v>16</v>
      </c>
      <c r="B39" s="13">
        <v>38</v>
      </c>
      <c r="C39" s="28">
        <v>149.1</v>
      </c>
      <c r="D39" s="14">
        <f t="shared" si="4"/>
        <v>169.61796931538572</v>
      </c>
      <c r="E39" s="14">
        <f t="shared" si="0"/>
        <v>87.903422380187308</v>
      </c>
      <c r="F39" s="14">
        <f t="shared" si="9"/>
        <v>179.48324333396792</v>
      </c>
      <c r="G39" s="14">
        <f t="shared" si="2"/>
        <v>105.81617269585324</v>
      </c>
      <c r="H39" s="15">
        <f t="shared" si="10"/>
        <v>140.90473715067844</v>
      </c>
    </row>
    <row r="40" spans="1:8" x14ac:dyDescent="0.3">
      <c r="A40" s="3" t="s">
        <v>17</v>
      </c>
      <c r="B40" s="13">
        <v>39</v>
      </c>
      <c r="C40" s="28">
        <v>156.19999999999999</v>
      </c>
      <c r="D40" s="14">
        <f t="shared" si="4"/>
        <v>170.49028803010566</v>
      </c>
      <c r="E40" s="14">
        <f t="shared" si="0"/>
        <v>91.618121949807346</v>
      </c>
      <c r="F40" s="14">
        <f t="shared" si="9"/>
        <v>158.31690903713121</v>
      </c>
      <c r="G40" s="14">
        <f t="shared" si="2"/>
        <v>92.859781554932425</v>
      </c>
      <c r="H40" s="15">
        <f t="shared" si="10"/>
        <v>168.21060461745526</v>
      </c>
    </row>
    <row r="41" spans="1:8" x14ac:dyDescent="0.3">
      <c r="A41" s="3" t="s">
        <v>18</v>
      </c>
      <c r="B41" s="13">
        <v>40</v>
      </c>
      <c r="C41" s="28">
        <v>184.6</v>
      </c>
      <c r="D41" s="14">
        <f t="shared" si="4"/>
        <v>171.3626067448256</v>
      </c>
      <c r="E41" s="14">
        <f t="shared" si="0"/>
        <v>107.7247851830861</v>
      </c>
      <c r="F41" s="14">
        <f t="shared" si="9"/>
        <v>172.89394505170125</v>
      </c>
      <c r="G41" s="14">
        <f t="shared" si="2"/>
        <v>100.89362454036193</v>
      </c>
      <c r="H41" s="15">
        <f t="shared" si="10"/>
        <v>182.96498003811112</v>
      </c>
    </row>
    <row r="42" spans="1:8" x14ac:dyDescent="0.3">
      <c r="A42" s="3" t="s">
        <v>19</v>
      </c>
      <c r="B42" s="13">
        <v>41</v>
      </c>
      <c r="C42" s="55">
        <v>197.9</v>
      </c>
      <c r="D42" s="14">
        <f t="shared" si="4"/>
        <v>172.23492545954554</v>
      </c>
      <c r="E42" s="14">
        <f t="shared" si="0"/>
        <v>114.90120222247413</v>
      </c>
      <c r="F42" s="14">
        <f t="shared" si="9"/>
        <v>171.83977358722623</v>
      </c>
      <c r="G42" s="14">
        <f t="shared" si="2"/>
        <v>99.770573900000258</v>
      </c>
      <c r="H42" s="15">
        <f t="shared" si="10"/>
        <v>198.35507832034179</v>
      </c>
    </row>
    <row r="43" spans="1:8" x14ac:dyDescent="0.3">
      <c r="A43" s="3" t="s">
        <v>20</v>
      </c>
      <c r="B43" s="13">
        <v>42</v>
      </c>
      <c r="C43" s="55">
        <v>192.8</v>
      </c>
      <c r="D43" s="14">
        <f t="shared" si="4"/>
        <v>173.10724417426545</v>
      </c>
      <c r="E43" s="14">
        <f t="shared" si="0"/>
        <v>111.3760437465633</v>
      </c>
      <c r="F43" s="14">
        <f t="shared" si="9"/>
        <v>172.16230580620382</v>
      </c>
      <c r="G43" s="14">
        <f t="shared" si="2"/>
        <v>99.454131239527811</v>
      </c>
      <c r="H43" s="15">
        <f t="shared" si="10"/>
        <v>193.85821141572862</v>
      </c>
    </row>
    <row r="44" spans="1:8" x14ac:dyDescent="0.3">
      <c r="A44" s="3" t="s">
        <v>21</v>
      </c>
      <c r="B44" s="13">
        <v>43</v>
      </c>
      <c r="C44" s="28">
        <v>187.6</v>
      </c>
      <c r="D44" s="14">
        <f t="shared" si="4"/>
        <v>173.97956288898538</v>
      </c>
      <c r="E44" s="14">
        <f t="shared" si="0"/>
        <v>107.82875694411629</v>
      </c>
      <c r="F44" s="14">
        <f t="shared" si="9"/>
        <v>170.4397461956103</v>
      </c>
      <c r="G44" s="14">
        <f t="shared" si="2"/>
        <v>97.965383614836526</v>
      </c>
      <c r="H44" s="15">
        <f t="shared" si="10"/>
        <v>191.49621333344996</v>
      </c>
    </row>
    <row r="45" spans="1:8" x14ac:dyDescent="0.3">
      <c r="A45" s="3" t="s">
        <v>22</v>
      </c>
      <c r="B45" s="13">
        <v>44</v>
      </c>
      <c r="C45" s="28">
        <v>192</v>
      </c>
      <c r="D45" s="14">
        <f t="shared" si="4"/>
        <v>174.85188160370532</v>
      </c>
      <c r="E45" s="14">
        <f t="shared" si="0"/>
        <v>109.80722554370917</v>
      </c>
      <c r="F45" s="14">
        <f t="shared" si="9"/>
        <v>178.00571037626034</v>
      </c>
      <c r="G45" s="14">
        <f t="shared" si="2"/>
        <v>101.80371451746973</v>
      </c>
      <c r="H45" s="15">
        <f t="shared" si="10"/>
        <v>188.59822641054262</v>
      </c>
    </row>
    <row r="46" spans="1:8" x14ac:dyDescent="0.3">
      <c r="A46" s="3" t="s">
        <v>23</v>
      </c>
      <c r="B46" s="13">
        <v>45</v>
      </c>
      <c r="C46" s="28">
        <v>187.9</v>
      </c>
      <c r="D46" s="14">
        <f t="shared" si="4"/>
        <v>175.72420031842523</v>
      </c>
      <c r="E46" s="14">
        <f t="shared" si="0"/>
        <v>106.92892593024257</v>
      </c>
      <c r="F46" s="14">
        <f t="shared" si="9"/>
        <v>175.4087206294673</v>
      </c>
      <c r="G46" s="14">
        <f t="shared" si="2"/>
        <v>99.820468843570637</v>
      </c>
      <c r="H46" s="15">
        <f t="shared" si="10"/>
        <v>188.2379457608634</v>
      </c>
    </row>
    <row r="47" spans="1:8" x14ac:dyDescent="0.3">
      <c r="A47" s="3" t="s">
        <v>24</v>
      </c>
      <c r="B47" s="13">
        <v>46</v>
      </c>
      <c r="C47" s="55">
        <v>180.4</v>
      </c>
      <c r="D47" s="14">
        <f t="shared" si="4"/>
        <v>176.59651903314517</v>
      </c>
      <c r="E47" s="14">
        <f t="shared" si="0"/>
        <v>102.15376893478911</v>
      </c>
      <c r="F47" s="14">
        <f t="shared" si="9"/>
        <v>171.16378959741459</v>
      </c>
      <c r="G47" s="14">
        <f t="shared" si="2"/>
        <v>96.923648628254725</v>
      </c>
      <c r="H47" s="15">
        <f t="shared" si="10"/>
        <v>186.1258862549781</v>
      </c>
    </row>
    <row r="48" spans="1:8" x14ac:dyDescent="0.3">
      <c r="A48" s="3" t="s">
        <v>25</v>
      </c>
      <c r="B48" s="13">
        <v>47</v>
      </c>
      <c r="C48" s="55">
        <v>160.69999999999999</v>
      </c>
      <c r="D48" s="14">
        <f t="shared" si="4"/>
        <v>177.46883774786511</v>
      </c>
      <c r="E48" s="14">
        <f t="shared" si="0"/>
        <v>90.551108599872009</v>
      </c>
      <c r="F48" s="14">
        <f t="shared" si="9"/>
        <v>177.39087144751622</v>
      </c>
      <c r="G48" s="14">
        <f t="shared" si="2"/>
        <v>99.956067610889718</v>
      </c>
      <c r="H48" s="15">
        <f t="shared" si="10"/>
        <v>160.7706303789131</v>
      </c>
    </row>
    <row r="49" spans="1:9" x14ac:dyDescent="0.3">
      <c r="A49" s="5" t="s">
        <v>26</v>
      </c>
      <c r="B49" s="6">
        <v>48</v>
      </c>
      <c r="C49" s="55">
        <v>136</v>
      </c>
      <c r="D49" s="16">
        <f t="shared" si="4"/>
        <v>178.34115646258505</v>
      </c>
      <c r="E49" s="16">
        <f t="shared" si="0"/>
        <v>76.258336941160309</v>
      </c>
      <c r="F49" s="16">
        <f t="shared" si="9"/>
        <v>162.97047783598751</v>
      </c>
      <c r="G49" s="16">
        <f t="shared" si="2"/>
        <v>91.381305957931133</v>
      </c>
      <c r="H49" s="17">
        <f t="shared" si="10"/>
        <v>148.82693847974753</v>
      </c>
      <c r="I49" s="87">
        <v>136</v>
      </c>
    </row>
    <row r="50" spans="1:9" x14ac:dyDescent="0.3">
      <c r="A50" s="18" t="s">
        <v>74</v>
      </c>
      <c r="B50" s="19">
        <v>49</v>
      </c>
      <c r="C50" s="19"/>
      <c r="D50" s="20">
        <f t="shared" si="4"/>
        <v>179.21347517730499</v>
      </c>
      <c r="E50" s="20">
        <f>G65</f>
        <v>79.852984438765731</v>
      </c>
      <c r="F50" s="20"/>
      <c r="G50" s="21"/>
      <c r="H50" s="22">
        <f>D50*G65/100</f>
        <v>143.10730844550463</v>
      </c>
      <c r="I50" s="23">
        <v>143.1073084455046</v>
      </c>
    </row>
    <row r="51" spans="1:9" x14ac:dyDescent="0.3">
      <c r="A51" s="24" t="s">
        <v>16</v>
      </c>
      <c r="B51" s="13">
        <v>50</v>
      </c>
      <c r="C51" s="13"/>
      <c r="D51" s="14">
        <f t="shared" si="4"/>
        <v>180.0857938920249</v>
      </c>
      <c r="E51" s="14">
        <f t="shared" ref="E51:E61" si="11">G66</f>
        <v>83.071821764757587</v>
      </c>
      <c r="F51" s="14"/>
      <c r="G51" s="25"/>
      <c r="H51" s="15">
        <f t="shared" ref="H51:H61" si="12">D51*G66/100</f>
        <v>149.60054972563162</v>
      </c>
      <c r="I51" s="23">
        <v>149.60054972563159</v>
      </c>
    </row>
    <row r="52" spans="1:9" x14ac:dyDescent="0.3">
      <c r="A52" s="24" t="s">
        <v>17</v>
      </c>
      <c r="B52" s="13">
        <v>51</v>
      </c>
      <c r="C52" s="13"/>
      <c r="D52" s="14">
        <f t="shared" si="4"/>
        <v>180.95811260674483</v>
      </c>
      <c r="E52" s="14">
        <f t="shared" si="11"/>
        <v>98.662866114550837</v>
      </c>
      <c r="F52" s="14"/>
      <c r="G52" s="25"/>
      <c r="H52" s="15">
        <f t="shared" si="12"/>
        <v>178.53846036461081</v>
      </c>
      <c r="I52" s="23">
        <v>178.53846036461076</v>
      </c>
    </row>
    <row r="53" spans="1:9" x14ac:dyDescent="0.3">
      <c r="A53" s="24" t="s">
        <v>18</v>
      </c>
      <c r="B53" s="13">
        <v>52</v>
      </c>
      <c r="C53" s="13"/>
      <c r="D53" s="14">
        <f t="shared" si="4"/>
        <v>181.83043132146474</v>
      </c>
      <c r="E53" s="14">
        <f t="shared" si="11"/>
        <v>106.77065639562925</v>
      </c>
      <c r="F53" s="14"/>
      <c r="G53" s="25"/>
      <c r="H53" s="15">
        <f t="shared" si="12"/>
        <v>194.14154504893173</v>
      </c>
      <c r="I53" s="23">
        <v>194.14154504893176</v>
      </c>
    </row>
    <row r="54" spans="1:9" x14ac:dyDescent="0.3">
      <c r="A54" s="24" t="s">
        <v>19</v>
      </c>
      <c r="B54" s="13">
        <v>53</v>
      </c>
      <c r="C54" s="13"/>
      <c r="D54" s="14">
        <f t="shared" si="4"/>
        <v>182.70275003618468</v>
      </c>
      <c r="E54" s="14">
        <f t="shared" si="11"/>
        <v>115.16542175816214</v>
      </c>
      <c r="F54" s="14"/>
      <c r="G54" s="25"/>
      <c r="H54" s="15">
        <f t="shared" si="12"/>
        <v>210.41039264293283</v>
      </c>
      <c r="I54" s="23">
        <v>210.41039264293286</v>
      </c>
    </row>
    <row r="55" spans="1:9" x14ac:dyDescent="0.3">
      <c r="A55" s="24" t="s">
        <v>20</v>
      </c>
      <c r="B55" s="13">
        <v>54</v>
      </c>
      <c r="C55" s="13"/>
      <c r="D55" s="14">
        <f t="shared" si="4"/>
        <v>183.57506875090462</v>
      </c>
      <c r="E55" s="14">
        <f t="shared" si="11"/>
        <v>111.9873476933024</v>
      </c>
      <c r="F55" s="14"/>
      <c r="G55" s="25"/>
      <c r="H55" s="15">
        <f t="shared" si="12"/>
        <v>205.58085052029449</v>
      </c>
      <c r="I55" s="23">
        <v>205.58085052029443</v>
      </c>
    </row>
    <row r="56" spans="1:9" x14ac:dyDescent="0.3">
      <c r="A56" s="24" t="s">
        <v>21</v>
      </c>
      <c r="B56" s="13">
        <v>55</v>
      </c>
      <c r="C56" s="13"/>
      <c r="D56" s="14">
        <f t="shared" si="4"/>
        <v>184.44738746562456</v>
      </c>
      <c r="E56" s="14">
        <f t="shared" si="11"/>
        <v>110.06822304504912</v>
      </c>
      <c r="F56" s="14"/>
      <c r="G56" s="25"/>
      <c r="H56" s="15">
        <f t="shared" si="12"/>
        <v>203.01796183642961</v>
      </c>
      <c r="I56" s="23">
        <v>203.01796183642961</v>
      </c>
    </row>
    <row r="57" spans="1:9" x14ac:dyDescent="0.3">
      <c r="A57" s="24" t="s">
        <v>22</v>
      </c>
      <c r="B57" s="13">
        <v>56</v>
      </c>
      <c r="C57" s="13"/>
      <c r="D57" s="14">
        <f t="shared" si="4"/>
        <v>185.3197061803445</v>
      </c>
      <c r="E57" s="14">
        <f t="shared" si="11"/>
        <v>107.86170825315614</v>
      </c>
      <c r="F57" s="14"/>
      <c r="G57" s="25"/>
      <c r="H57" s="15">
        <f t="shared" si="12"/>
        <v>199.88900081584936</v>
      </c>
      <c r="I57" s="23">
        <v>199.88900081584927</v>
      </c>
    </row>
    <row r="58" spans="1:9" x14ac:dyDescent="0.3">
      <c r="A58" s="24" t="s">
        <v>23</v>
      </c>
      <c r="B58" s="13">
        <v>57</v>
      </c>
      <c r="C58" s="13"/>
      <c r="D58" s="14">
        <f t="shared" si="4"/>
        <v>186.19202489506441</v>
      </c>
      <c r="E58" s="14">
        <f t="shared" si="11"/>
        <v>107.1212419346694</v>
      </c>
      <c r="F58" s="14"/>
      <c r="G58" s="25"/>
      <c r="H58" s="15">
        <f t="shared" si="12"/>
        <v>199.45120945090181</v>
      </c>
      <c r="I58" s="23">
        <v>199.45120945090181</v>
      </c>
    </row>
    <row r="59" spans="1:9" x14ac:dyDescent="0.3">
      <c r="A59" s="24" t="s">
        <v>24</v>
      </c>
      <c r="B59" s="13">
        <v>58</v>
      </c>
      <c r="C59" s="13"/>
      <c r="D59" s="14">
        <f t="shared" si="4"/>
        <v>187.06434360978434</v>
      </c>
      <c r="E59" s="14">
        <f t="shared" si="11"/>
        <v>105.3961240425381</v>
      </c>
      <c r="F59" s="14"/>
      <c r="G59" s="25"/>
      <c r="H59" s="15">
        <f t="shared" si="12"/>
        <v>197.15856763032801</v>
      </c>
      <c r="I59" s="23">
        <v>197.15856763032804</v>
      </c>
    </row>
    <row r="60" spans="1:9" x14ac:dyDescent="0.3">
      <c r="A60" s="24" t="s">
        <v>25</v>
      </c>
      <c r="B60" s="13">
        <v>59</v>
      </c>
      <c r="C60" s="13"/>
      <c r="D60" s="14">
        <f t="shared" si="4"/>
        <v>187.93666232450428</v>
      </c>
      <c r="E60" s="14">
        <f t="shared" si="11"/>
        <v>90.590907349787457</v>
      </c>
      <c r="F60" s="14"/>
      <c r="G60" s="25"/>
      <c r="H60" s="15">
        <f t="shared" si="12"/>
        <v>170.25352764267461</v>
      </c>
      <c r="I60" s="23">
        <v>170.25352764267461</v>
      </c>
    </row>
    <row r="61" spans="1:9" x14ac:dyDescent="0.3">
      <c r="A61" s="26" t="s">
        <v>26</v>
      </c>
      <c r="B61" s="6">
        <v>60</v>
      </c>
      <c r="C61" s="6"/>
      <c r="D61" s="16">
        <f t="shared" si="4"/>
        <v>188.80898103922419</v>
      </c>
      <c r="E61" s="16">
        <f t="shared" si="11"/>
        <v>83.450697209631784</v>
      </c>
      <c r="F61" s="16"/>
      <c r="G61" s="27"/>
      <c r="H61" s="17">
        <f t="shared" si="12"/>
        <v>157.56241107163407</v>
      </c>
      <c r="I61" s="23">
        <v>157.56241107163407</v>
      </c>
    </row>
    <row r="62" spans="1:9" x14ac:dyDescent="0.3">
      <c r="A62" s="28"/>
      <c r="C62" s="29"/>
      <c r="D62" s="29"/>
      <c r="E62" s="29"/>
      <c r="F62" s="29"/>
      <c r="G62" s="71"/>
      <c r="H62" s="83"/>
    </row>
    <row r="63" spans="1:9" x14ac:dyDescent="0.3">
      <c r="A63" s="31"/>
      <c r="B63" s="19"/>
      <c r="C63" s="32" t="s">
        <v>31</v>
      </c>
      <c r="D63" s="33" t="s">
        <v>32</v>
      </c>
      <c r="E63" s="34"/>
      <c r="F63" s="34"/>
      <c r="G63" s="84" t="s">
        <v>33</v>
      </c>
      <c r="H63" s="30"/>
    </row>
    <row r="64" spans="1:9" x14ac:dyDescent="0.3">
      <c r="A64" s="35" t="s">
        <v>34</v>
      </c>
      <c r="B64" s="16">
        <v>2002</v>
      </c>
      <c r="C64" s="16">
        <v>2003</v>
      </c>
      <c r="D64" s="16">
        <v>2004</v>
      </c>
      <c r="E64" s="16">
        <v>2005</v>
      </c>
      <c r="F64" s="7" t="s">
        <v>35</v>
      </c>
      <c r="G64" s="7" t="s">
        <v>36</v>
      </c>
      <c r="H64" s="30"/>
    </row>
    <row r="65" spans="1:8" x14ac:dyDescent="0.3">
      <c r="A65" s="3" t="s">
        <v>37</v>
      </c>
      <c r="B65" s="23">
        <f>E2</f>
        <v>80.383173265046324</v>
      </c>
      <c r="C65" s="23">
        <f>E14</f>
        <v>79.696907412541066</v>
      </c>
      <c r="D65" s="14">
        <f>E26</f>
        <v>78.659154682286854</v>
      </c>
      <c r="E65" s="23">
        <f>E38</f>
        <v>84.683664136725412</v>
      </c>
      <c r="F65" s="23">
        <f>MEDIAN(B65:E65)</f>
        <v>80.040040338793688</v>
      </c>
      <c r="G65" s="14">
        <f t="shared" ref="G65:G76" si="13">F65*$F$78</f>
        <v>79.852984438765731</v>
      </c>
      <c r="H65" s="36"/>
    </row>
    <row r="66" spans="1:8" x14ac:dyDescent="0.3">
      <c r="A66" s="3" t="s">
        <v>16</v>
      </c>
      <c r="B66" s="23">
        <f t="shared" ref="B66:B76" si="14">E3</f>
        <v>87.11097883763415</v>
      </c>
      <c r="C66" s="23">
        <f t="shared" ref="C66:C76" si="15">E15</f>
        <v>73.781469027652236</v>
      </c>
      <c r="D66" s="14">
        <f t="shared" ref="D66:D76" si="16">E27</f>
        <v>79.421856767703432</v>
      </c>
      <c r="E66" s="23">
        <f t="shared" ref="E66:E76" si="17">E39</f>
        <v>87.903422380187308</v>
      </c>
      <c r="F66" s="23">
        <f t="shared" ref="F66:F76" si="18">MEDIAN(B66:E66)</f>
        <v>83.266417802668798</v>
      </c>
      <c r="G66" s="14">
        <f t="shared" si="13"/>
        <v>83.071821764757587</v>
      </c>
      <c r="H66" s="36"/>
    </row>
    <row r="67" spans="1:8" x14ac:dyDescent="0.3">
      <c r="A67" s="3" t="s">
        <v>17</v>
      </c>
      <c r="B67" s="23">
        <f t="shared" si="14"/>
        <v>99.36240232070152</v>
      </c>
      <c r="C67" s="23">
        <f t="shared" si="15"/>
        <v>98.425566137893838</v>
      </c>
      <c r="D67" s="14">
        <f t="shared" si="16"/>
        <v>108.60975156187362</v>
      </c>
      <c r="E67" s="23">
        <f t="shared" si="17"/>
        <v>91.618121949807346</v>
      </c>
      <c r="F67" s="23">
        <f t="shared" si="18"/>
        <v>98.893984229297672</v>
      </c>
      <c r="G67" s="14">
        <f t="shared" si="13"/>
        <v>98.662866114550837</v>
      </c>
      <c r="H67" s="36"/>
    </row>
    <row r="68" spans="1:8" x14ac:dyDescent="0.3">
      <c r="A68" s="3" t="s">
        <v>18</v>
      </c>
      <c r="B68" s="23">
        <f t="shared" si="14"/>
        <v>106.31674889280016</v>
      </c>
      <c r="C68" s="23">
        <f t="shared" si="15"/>
        <v>100.51389885219359</v>
      </c>
      <c r="D68" s="14">
        <f t="shared" si="16"/>
        <v>111.56359303955871</v>
      </c>
      <c r="E68" s="23">
        <f t="shared" si="17"/>
        <v>107.7247851830861</v>
      </c>
      <c r="F68" s="23">
        <f t="shared" si="18"/>
        <v>107.02076703794313</v>
      </c>
      <c r="G68" s="14">
        <f t="shared" si="13"/>
        <v>106.77065639562925</v>
      </c>
      <c r="H68" s="36"/>
    </row>
    <row r="69" spans="1:8" x14ac:dyDescent="0.3">
      <c r="A69" s="3" t="s">
        <v>19</v>
      </c>
      <c r="B69" s="23">
        <f t="shared" si="14"/>
        <v>117.51636297673853</v>
      </c>
      <c r="C69" s="23">
        <f t="shared" si="15"/>
        <v>109.05537952871576</v>
      </c>
      <c r="D69" s="14">
        <f t="shared" si="16"/>
        <v>115.96919211390981</v>
      </c>
      <c r="E69" s="23">
        <f t="shared" si="17"/>
        <v>114.90120222247413</v>
      </c>
      <c r="F69" s="23">
        <f t="shared" si="18"/>
        <v>115.43519716819196</v>
      </c>
      <c r="G69" s="14">
        <f t="shared" si="13"/>
        <v>115.16542175816214</v>
      </c>
      <c r="H69" s="36"/>
    </row>
    <row r="70" spans="1:8" x14ac:dyDescent="0.3">
      <c r="A70" s="3" t="s">
        <v>20</v>
      </c>
      <c r="B70" s="23">
        <f t="shared" si="14"/>
        <v>113.12331316050299</v>
      </c>
      <c r="C70" s="23">
        <f t="shared" si="15"/>
        <v>114.67317535571169</v>
      </c>
      <c r="D70" s="14">
        <f t="shared" si="16"/>
        <v>105.93987633888156</v>
      </c>
      <c r="E70" s="23">
        <f t="shared" si="17"/>
        <v>111.3760437465633</v>
      </c>
      <c r="F70" s="23">
        <f t="shared" si="18"/>
        <v>112.24967845353314</v>
      </c>
      <c r="G70" s="25">
        <f t="shared" si="13"/>
        <v>111.9873476933024</v>
      </c>
    </row>
    <row r="71" spans="1:8" x14ac:dyDescent="0.3">
      <c r="A71" s="3" t="s">
        <v>21</v>
      </c>
      <c r="B71" s="23">
        <f t="shared" si="14"/>
        <v>109.34512295821708</v>
      </c>
      <c r="C71" s="23">
        <f t="shared" si="15"/>
        <v>114.86899132989414</v>
      </c>
      <c r="D71" s="14">
        <f t="shared" si="16"/>
        <v>111.30699353971568</v>
      </c>
      <c r="E71" s="23">
        <f t="shared" si="17"/>
        <v>107.82875694411629</v>
      </c>
      <c r="F71" s="23">
        <f t="shared" si="18"/>
        <v>110.32605824896638</v>
      </c>
      <c r="G71" s="25">
        <f t="shared" si="13"/>
        <v>110.06822304504912</v>
      </c>
    </row>
    <row r="72" spans="1:8" x14ac:dyDescent="0.3">
      <c r="A72" s="3" t="s">
        <v>22</v>
      </c>
      <c r="B72" s="23">
        <f t="shared" si="14"/>
        <v>102.47586723258513</v>
      </c>
      <c r="C72" s="23">
        <f t="shared" si="15"/>
        <v>106.42152383294359</v>
      </c>
      <c r="D72" s="14">
        <f t="shared" si="16"/>
        <v>113.08882586429365</v>
      </c>
      <c r="E72" s="23">
        <f t="shared" si="17"/>
        <v>109.80722554370917</v>
      </c>
      <c r="F72" s="23">
        <f t="shared" si="18"/>
        <v>108.11437468832638</v>
      </c>
      <c r="G72" s="25">
        <f t="shared" si="13"/>
        <v>107.86170825315614</v>
      </c>
      <c r="H72" s="37"/>
    </row>
    <row r="73" spans="1:8" x14ac:dyDescent="0.3">
      <c r="A73" s="3" t="s">
        <v>23</v>
      </c>
      <c r="B73" s="23">
        <f t="shared" si="14"/>
        <v>107.81542171946799</v>
      </c>
      <c r="C73" s="23">
        <f t="shared" si="15"/>
        <v>110.66709954358105</v>
      </c>
      <c r="D73" s="14">
        <f t="shared" si="16"/>
        <v>99.239741440445741</v>
      </c>
      <c r="E73" s="23">
        <f t="shared" si="17"/>
        <v>106.92892593024257</v>
      </c>
      <c r="F73" s="23">
        <f t="shared" si="18"/>
        <v>107.37217382485528</v>
      </c>
      <c r="G73" s="25">
        <f t="shared" si="13"/>
        <v>107.1212419346694</v>
      </c>
      <c r="H73" s="37"/>
    </row>
    <row r="74" spans="1:8" x14ac:dyDescent="0.3">
      <c r="A74" s="3" t="s">
        <v>24</v>
      </c>
      <c r="B74" s="23">
        <f t="shared" si="14"/>
        <v>101.10677112214039</v>
      </c>
      <c r="C74" s="23">
        <f t="shared" si="15"/>
        <v>111.46025339181304</v>
      </c>
      <c r="D74" s="14">
        <f t="shared" si="16"/>
        <v>109.13226074106419</v>
      </c>
      <c r="E74" s="23">
        <f t="shared" si="17"/>
        <v>102.15376893478911</v>
      </c>
      <c r="F74" s="23">
        <f t="shared" si="18"/>
        <v>105.64301483792664</v>
      </c>
      <c r="G74" s="25">
        <f t="shared" si="13"/>
        <v>105.3961240425381</v>
      </c>
      <c r="H74" s="37"/>
    </row>
    <row r="75" spans="1:8" x14ac:dyDescent="0.3">
      <c r="A75" s="3" t="s">
        <v>25</v>
      </c>
      <c r="B75" s="23">
        <f t="shared" si="14"/>
        <v>91.055125144971242</v>
      </c>
      <c r="C75" s="23">
        <f t="shared" si="15"/>
        <v>98.190039684220181</v>
      </c>
      <c r="D75" s="14">
        <f t="shared" si="16"/>
        <v>82.694109082084566</v>
      </c>
      <c r="E75" s="23">
        <f t="shared" si="17"/>
        <v>90.551108599872009</v>
      </c>
      <c r="F75" s="23">
        <f t="shared" si="18"/>
        <v>90.803116872421626</v>
      </c>
      <c r="G75" s="25">
        <f t="shared" si="13"/>
        <v>90.590907349787457</v>
      </c>
      <c r="H75" s="37"/>
    </row>
    <row r="76" spans="1:8" x14ac:dyDescent="0.3">
      <c r="A76" s="3" t="s">
        <v>26</v>
      </c>
      <c r="B76" s="23">
        <f t="shared" si="14"/>
        <v>83.777011935027673</v>
      </c>
      <c r="C76" s="23">
        <f t="shared" si="15"/>
        <v>91.610517614636265</v>
      </c>
      <c r="D76" s="14">
        <f t="shared" si="16"/>
        <v>83.515349594212324</v>
      </c>
      <c r="E76" s="23">
        <f t="shared" si="17"/>
        <v>76.258336941160309</v>
      </c>
      <c r="F76" s="23">
        <f t="shared" si="18"/>
        <v>83.646180764619999</v>
      </c>
      <c r="G76" s="25">
        <f t="shared" si="13"/>
        <v>83.450697209631784</v>
      </c>
      <c r="H76" s="37"/>
    </row>
    <row r="77" spans="1:8" x14ac:dyDescent="0.3">
      <c r="A77" s="9" t="s">
        <v>38</v>
      </c>
      <c r="B77" s="10"/>
      <c r="C77" s="10"/>
      <c r="D77" s="10"/>
      <c r="E77" s="10"/>
      <c r="F77" s="38">
        <f>SUM(F65:F76)</f>
        <v>1202.8110042675448</v>
      </c>
      <c r="G77" s="39">
        <f>SUM(G65:G76)</f>
        <v>1199.9999999999998</v>
      </c>
    </row>
    <row r="78" spans="1:8" x14ac:dyDescent="0.3">
      <c r="D78" s="37"/>
      <c r="E78" s="37"/>
      <c r="F78" s="85">
        <f>1200/F77</f>
        <v>0.99766297094259082</v>
      </c>
      <c r="G78" s="2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zoomScale="90" zoomScaleNormal="90" workbookViewId="0">
      <selection activeCell="O23" sqref="O23"/>
    </sheetView>
  </sheetViews>
  <sheetFormatPr defaultRowHeight="14.4" x14ac:dyDescent="0.3"/>
  <cols>
    <col min="6" max="6" width="12.88671875" customWidth="1"/>
    <col min="9" max="9" width="10.33203125" customWidth="1"/>
  </cols>
  <sheetData>
    <row r="1" spans="1:11" x14ac:dyDescent="0.3">
      <c r="A1" s="9" t="s">
        <v>7</v>
      </c>
      <c r="B1" s="10" t="s">
        <v>8</v>
      </c>
      <c r="C1" s="10" t="s">
        <v>9</v>
      </c>
      <c r="D1" s="10" t="s">
        <v>10</v>
      </c>
      <c r="E1" s="10" t="s">
        <v>11</v>
      </c>
      <c r="F1" s="10" t="s">
        <v>12</v>
      </c>
      <c r="G1" s="10" t="s">
        <v>13</v>
      </c>
      <c r="H1" s="11" t="s">
        <v>14</v>
      </c>
      <c r="I1" s="11" t="s">
        <v>15</v>
      </c>
      <c r="K1" t="s">
        <v>75</v>
      </c>
    </row>
    <row r="2" spans="1:11" x14ac:dyDescent="0.3">
      <c r="A2" s="3" t="s">
        <v>27</v>
      </c>
      <c r="B2" s="13">
        <v>1</v>
      </c>
      <c r="C2" s="55">
        <v>110.4</v>
      </c>
      <c r="D2" s="14">
        <f>TREND($C$2:$C$49,$B$2:$B$49,B2)</f>
        <v>137.34217687074832</v>
      </c>
      <c r="E2" s="14">
        <f t="shared" ref="E2:E49" si="0">(C2/D2)*100</f>
        <v>80.383173265046324</v>
      </c>
      <c r="F2" s="14">
        <f t="shared" ref="F2:F13" si="1">(C2/G65)*100</f>
        <v>138.25406874386627</v>
      </c>
      <c r="G2" s="14">
        <f t="shared" ref="G2:G49" si="2">(F2/D2)*100</f>
        <v>100.66395618148395</v>
      </c>
      <c r="H2" s="15">
        <f t="shared" ref="H2:H13" si="3">D2*G65/100</f>
        <v>109.67182712446076</v>
      </c>
      <c r="I2" s="86"/>
    </row>
    <row r="3" spans="1:11" x14ac:dyDescent="0.3">
      <c r="A3" s="3" t="s">
        <v>16</v>
      </c>
      <c r="B3" s="13">
        <v>2</v>
      </c>
      <c r="C3" s="55">
        <v>120.4</v>
      </c>
      <c r="D3" s="14">
        <f t="shared" ref="D3:D61" si="4">TREND($C$2:$C$49,$B$2:$B$49,B3)</f>
        <v>138.21449558546823</v>
      </c>
      <c r="E3" s="14">
        <f t="shared" si="0"/>
        <v>87.11097883763415</v>
      </c>
      <c r="F3" s="14">
        <f t="shared" si="1"/>
        <v>144.93482560301638</v>
      </c>
      <c r="G3" s="14">
        <f t="shared" si="2"/>
        <v>104.86224689319397</v>
      </c>
      <c r="H3" s="15">
        <f t="shared" si="3"/>
        <v>114.81729942581892</v>
      </c>
      <c r="I3" s="86"/>
    </row>
    <row r="4" spans="1:11" x14ac:dyDescent="0.3">
      <c r="A4" s="3" t="s">
        <v>17</v>
      </c>
      <c r="B4" s="13">
        <v>3</v>
      </c>
      <c r="C4" s="55">
        <v>138.19999999999999</v>
      </c>
      <c r="D4" s="14">
        <f t="shared" si="4"/>
        <v>139.08681430018817</v>
      </c>
      <c r="E4" s="14">
        <f t="shared" si="0"/>
        <v>99.36240232070152</v>
      </c>
      <c r="F4" s="14">
        <f t="shared" si="1"/>
        <v>140.07296305333887</v>
      </c>
      <c r="G4" s="14">
        <f t="shared" si="2"/>
        <v>100.70901670881779</v>
      </c>
      <c r="H4" s="15">
        <f t="shared" si="3"/>
        <v>137.2270373759886</v>
      </c>
      <c r="I4" s="86"/>
    </row>
    <row r="5" spans="1:11" x14ac:dyDescent="0.3">
      <c r="A5" s="3" t="s">
        <v>18</v>
      </c>
      <c r="B5" s="13">
        <v>4</v>
      </c>
      <c r="C5" s="55">
        <v>148.80000000000001</v>
      </c>
      <c r="D5" s="14">
        <f t="shared" si="4"/>
        <v>139.9591330149081</v>
      </c>
      <c r="E5" s="14">
        <f t="shared" si="0"/>
        <v>106.31674889280016</v>
      </c>
      <c r="F5" s="14">
        <f t="shared" si="1"/>
        <v>139.36413338945368</v>
      </c>
      <c r="G5" s="14">
        <f t="shared" si="2"/>
        <v>99.574876170895507</v>
      </c>
      <c r="H5" s="15">
        <f t="shared" si="3"/>
        <v>149.43528500564923</v>
      </c>
      <c r="I5" s="86"/>
    </row>
    <row r="6" spans="1:11" x14ac:dyDescent="0.3">
      <c r="A6" s="3" t="s">
        <v>19</v>
      </c>
      <c r="B6" s="13">
        <v>5</v>
      </c>
      <c r="C6" s="55">
        <v>165.5</v>
      </c>
      <c r="D6" s="14">
        <f t="shared" si="4"/>
        <v>140.83145172962804</v>
      </c>
      <c r="E6" s="14">
        <f t="shared" si="0"/>
        <v>117.51636297673853</v>
      </c>
      <c r="F6" s="14">
        <f t="shared" si="1"/>
        <v>143.70632909896887</v>
      </c>
      <c r="G6" s="14">
        <f t="shared" si="2"/>
        <v>102.0413603169128</v>
      </c>
      <c r="H6" s="15">
        <f t="shared" si="3"/>
        <v>162.18913535256866</v>
      </c>
      <c r="I6" s="86"/>
    </row>
    <row r="7" spans="1:11" x14ac:dyDescent="0.3">
      <c r="A7" s="3" t="s">
        <v>20</v>
      </c>
      <c r="B7" s="13">
        <v>6</v>
      </c>
      <c r="C7" s="55">
        <v>160.30000000000001</v>
      </c>
      <c r="D7" s="14">
        <f t="shared" si="4"/>
        <v>141.70377044434795</v>
      </c>
      <c r="E7" s="14">
        <f t="shared" si="0"/>
        <v>113.12331316050299</v>
      </c>
      <c r="F7" s="14">
        <f t="shared" si="1"/>
        <v>143.14117023202527</v>
      </c>
      <c r="G7" s="14">
        <f t="shared" si="2"/>
        <v>101.01436947172964</v>
      </c>
      <c r="H7" s="15">
        <f t="shared" si="3"/>
        <v>158.69029410203103</v>
      </c>
      <c r="I7" s="86"/>
    </row>
    <row r="8" spans="1:11" x14ac:dyDescent="0.3">
      <c r="A8" s="3" t="s">
        <v>21</v>
      </c>
      <c r="B8" s="13">
        <v>7</v>
      </c>
      <c r="C8" s="28">
        <v>155.9</v>
      </c>
      <c r="D8" s="14">
        <f t="shared" si="4"/>
        <v>142.57608915906789</v>
      </c>
      <c r="E8" s="14">
        <f t="shared" si="0"/>
        <v>109.34512295821708</v>
      </c>
      <c r="F8" s="14">
        <f t="shared" si="1"/>
        <v>141.63942660925187</v>
      </c>
      <c r="G8" s="14">
        <f t="shared" si="2"/>
        <v>99.343043735214948</v>
      </c>
      <c r="H8" s="15">
        <f t="shared" si="3"/>
        <v>156.93096782451096</v>
      </c>
      <c r="I8" s="86"/>
    </row>
    <row r="9" spans="1:11" x14ac:dyDescent="0.3">
      <c r="A9" s="3" t="s">
        <v>22</v>
      </c>
      <c r="B9" s="13">
        <v>8</v>
      </c>
      <c r="C9" s="55">
        <v>147</v>
      </c>
      <c r="D9" s="14">
        <f t="shared" si="4"/>
        <v>143.44840787378783</v>
      </c>
      <c r="E9" s="14">
        <f t="shared" si="0"/>
        <v>102.47586723258513</v>
      </c>
      <c r="F9" s="14">
        <f t="shared" si="1"/>
        <v>136.28562200682433</v>
      </c>
      <c r="G9" s="14">
        <f t="shared" si="2"/>
        <v>95.006716370623195</v>
      </c>
      <c r="H9" s="15">
        <f t="shared" si="3"/>
        <v>154.72590319462248</v>
      </c>
      <c r="I9" s="86"/>
    </row>
    <row r="10" spans="1:11" x14ac:dyDescent="0.3">
      <c r="A10" s="3" t="s">
        <v>23</v>
      </c>
      <c r="B10" s="13">
        <v>9</v>
      </c>
      <c r="C10" s="28">
        <v>155.6</v>
      </c>
      <c r="D10" s="14">
        <f t="shared" si="4"/>
        <v>144.32072658850774</v>
      </c>
      <c r="E10" s="14">
        <f t="shared" si="0"/>
        <v>107.81542171946799</v>
      </c>
      <c r="F10" s="14">
        <f t="shared" si="1"/>
        <v>145.25597088847849</v>
      </c>
      <c r="G10" s="14">
        <f t="shared" si="2"/>
        <v>100.64803186768685</v>
      </c>
      <c r="H10" s="15">
        <f t="shared" si="3"/>
        <v>154.59815469074812</v>
      </c>
      <c r="I10" s="86"/>
    </row>
    <row r="11" spans="1:11" x14ac:dyDescent="0.3">
      <c r="A11" s="3" t="s">
        <v>24</v>
      </c>
      <c r="B11" s="13">
        <v>10</v>
      </c>
      <c r="C11" s="28">
        <v>146.80000000000001</v>
      </c>
      <c r="D11" s="14">
        <f t="shared" si="4"/>
        <v>145.19304530322768</v>
      </c>
      <c r="E11" s="14">
        <f t="shared" si="0"/>
        <v>101.10677112214039</v>
      </c>
      <c r="F11" s="14">
        <f t="shared" si="1"/>
        <v>139.28405938414889</v>
      </c>
      <c r="G11" s="14">
        <f t="shared" si="2"/>
        <v>95.930255538935626</v>
      </c>
      <c r="H11" s="15">
        <f t="shared" si="3"/>
        <v>153.0278421289284</v>
      </c>
      <c r="I11" s="86"/>
    </row>
    <row r="12" spans="1:11" x14ac:dyDescent="0.3">
      <c r="A12" s="3" t="s">
        <v>25</v>
      </c>
      <c r="B12" s="13">
        <v>11</v>
      </c>
      <c r="C12" s="28">
        <v>133</v>
      </c>
      <c r="D12" s="14">
        <f t="shared" si="4"/>
        <v>146.06536401794762</v>
      </c>
      <c r="E12" s="14">
        <f t="shared" si="0"/>
        <v>91.055125144971242</v>
      </c>
      <c r="F12" s="14">
        <f t="shared" si="1"/>
        <v>146.81385129134821</v>
      </c>
      <c r="G12" s="14">
        <f t="shared" si="2"/>
        <v>100.51243310036774</v>
      </c>
      <c r="H12" s="15">
        <f t="shared" si="3"/>
        <v>132.32193858762869</v>
      </c>
      <c r="I12" s="86"/>
    </row>
    <row r="13" spans="1:11" x14ac:dyDescent="0.3">
      <c r="A13" s="3" t="s">
        <v>26</v>
      </c>
      <c r="B13" s="13">
        <v>12</v>
      </c>
      <c r="C13" s="55">
        <v>123.1</v>
      </c>
      <c r="D13" s="14">
        <f t="shared" si="4"/>
        <v>146.93768273266755</v>
      </c>
      <c r="E13" s="14">
        <f t="shared" si="0"/>
        <v>83.777011935027673</v>
      </c>
      <c r="F13" s="14">
        <f t="shared" si="1"/>
        <v>147.51224868830926</v>
      </c>
      <c r="G13" s="14">
        <f t="shared" si="2"/>
        <v>100.39102696119622</v>
      </c>
      <c r="H13" s="15">
        <f t="shared" si="3"/>
        <v>122.62052070408781</v>
      </c>
      <c r="I13" s="86"/>
    </row>
    <row r="14" spans="1:11" x14ac:dyDescent="0.3">
      <c r="A14" s="3" t="s">
        <v>28</v>
      </c>
      <c r="B14" s="13">
        <v>13</v>
      </c>
      <c r="C14" s="28">
        <v>117.8</v>
      </c>
      <c r="D14" s="14">
        <f t="shared" si="4"/>
        <v>147.81000144738746</v>
      </c>
      <c r="E14" s="14">
        <f t="shared" si="0"/>
        <v>79.696907412541066</v>
      </c>
      <c r="F14" s="14">
        <f t="shared" ref="F14:F25" si="5">(C14/G65)*100</f>
        <v>147.52109871401672</v>
      </c>
      <c r="G14" s="14">
        <f t="shared" si="2"/>
        <v>99.804544529773537</v>
      </c>
      <c r="H14" s="15">
        <f t="shared" ref="H14:H25" si="6">D14*G65/100</f>
        <v>118.03069745472172</v>
      </c>
      <c r="I14" s="86"/>
    </row>
    <row r="15" spans="1:11" x14ac:dyDescent="0.3">
      <c r="A15" s="3" t="s">
        <v>16</v>
      </c>
      <c r="B15" s="13">
        <v>14</v>
      </c>
      <c r="C15" s="28">
        <v>109.7</v>
      </c>
      <c r="D15" s="14">
        <f t="shared" si="4"/>
        <v>148.6823201621074</v>
      </c>
      <c r="E15" s="14">
        <f t="shared" si="0"/>
        <v>73.781469027652236</v>
      </c>
      <c r="F15" s="14">
        <f t="shared" si="5"/>
        <v>132.05440505524001</v>
      </c>
      <c r="G15" s="14">
        <f t="shared" si="2"/>
        <v>88.816481281205412</v>
      </c>
      <c r="H15" s="15">
        <f t="shared" si="6"/>
        <v>123.51311200077208</v>
      </c>
      <c r="I15" s="86"/>
    </row>
    <row r="16" spans="1:11" x14ac:dyDescent="0.3">
      <c r="A16" s="3" t="s">
        <v>17</v>
      </c>
      <c r="B16" s="13">
        <v>15</v>
      </c>
      <c r="C16" s="28">
        <v>147.19999999999999</v>
      </c>
      <c r="D16" s="14">
        <f t="shared" si="4"/>
        <v>149.55463887682734</v>
      </c>
      <c r="E16" s="14">
        <f t="shared" si="0"/>
        <v>98.425566137893838</v>
      </c>
      <c r="F16" s="14">
        <f t="shared" si="5"/>
        <v>149.19493604523504</v>
      </c>
      <c r="G16" s="14">
        <f t="shared" si="2"/>
        <v>99.759484002439706</v>
      </c>
      <c r="H16" s="15">
        <f t="shared" si="6"/>
        <v>147.55489312314415</v>
      </c>
      <c r="I16" s="86"/>
    </row>
    <row r="17" spans="1:9" x14ac:dyDescent="0.3">
      <c r="A17" s="3" t="s">
        <v>18</v>
      </c>
      <c r="B17" s="13">
        <v>16</v>
      </c>
      <c r="C17" s="28">
        <v>151.19999999999999</v>
      </c>
      <c r="D17" s="14">
        <f t="shared" si="4"/>
        <v>150.42695759154728</v>
      </c>
      <c r="E17" s="14">
        <f t="shared" si="0"/>
        <v>100.51389885219359</v>
      </c>
      <c r="F17" s="14">
        <f t="shared" si="5"/>
        <v>141.61194199250937</v>
      </c>
      <c r="G17" s="14">
        <f t="shared" si="2"/>
        <v>94.140002736096534</v>
      </c>
      <c r="H17" s="15">
        <f t="shared" si="6"/>
        <v>160.61185001646987</v>
      </c>
      <c r="I17" s="86"/>
    </row>
    <row r="18" spans="1:9" x14ac:dyDescent="0.3">
      <c r="A18" s="3" t="s">
        <v>19</v>
      </c>
      <c r="B18" s="13">
        <v>17</v>
      </c>
      <c r="C18" s="55">
        <v>165</v>
      </c>
      <c r="D18" s="14">
        <f t="shared" si="4"/>
        <v>151.29927630626719</v>
      </c>
      <c r="E18" s="14">
        <f t="shared" si="0"/>
        <v>109.05537952871576</v>
      </c>
      <c r="F18" s="14">
        <f t="shared" si="5"/>
        <v>143.27217100501431</v>
      </c>
      <c r="G18" s="14">
        <f t="shared" si="2"/>
        <v>94.694551423363038</v>
      </c>
      <c r="H18" s="15">
        <f t="shared" si="6"/>
        <v>174.2444496751597</v>
      </c>
      <c r="I18" s="86"/>
    </row>
    <row r="19" spans="1:9" x14ac:dyDescent="0.3">
      <c r="A19" s="3" t="s">
        <v>20</v>
      </c>
      <c r="B19" s="13">
        <v>18</v>
      </c>
      <c r="C19" s="55">
        <v>174.5</v>
      </c>
      <c r="D19" s="14">
        <f t="shared" si="4"/>
        <v>152.17159502098713</v>
      </c>
      <c r="E19" s="14">
        <f t="shared" si="0"/>
        <v>114.67317535571169</v>
      </c>
      <c r="F19" s="14">
        <f t="shared" si="5"/>
        <v>155.82117408289713</v>
      </c>
      <c r="G19" s="14">
        <f t="shared" si="2"/>
        <v>102.3983313452203</v>
      </c>
      <c r="H19" s="15">
        <f t="shared" si="6"/>
        <v>170.4129332065969</v>
      </c>
      <c r="I19" s="86"/>
    </row>
    <row r="20" spans="1:9" x14ac:dyDescent="0.3">
      <c r="A20" s="3" t="s">
        <v>21</v>
      </c>
      <c r="B20" s="13">
        <v>19</v>
      </c>
      <c r="C20" s="28">
        <v>175.8</v>
      </c>
      <c r="D20" s="14">
        <f t="shared" si="4"/>
        <v>153.04391373570706</v>
      </c>
      <c r="E20" s="14">
        <f t="shared" si="0"/>
        <v>114.86899132989414</v>
      </c>
      <c r="F20" s="14">
        <f t="shared" si="5"/>
        <v>159.71912250100371</v>
      </c>
      <c r="G20" s="14">
        <f t="shared" si="2"/>
        <v>104.36162968023943</v>
      </c>
      <c r="H20" s="15">
        <f t="shared" si="6"/>
        <v>168.45271632749063</v>
      </c>
      <c r="I20" s="86"/>
    </row>
    <row r="21" spans="1:9" x14ac:dyDescent="0.3">
      <c r="A21" s="3" t="s">
        <v>22</v>
      </c>
      <c r="B21" s="13">
        <v>20</v>
      </c>
      <c r="C21" s="55">
        <v>163.80000000000001</v>
      </c>
      <c r="D21" s="14">
        <f t="shared" si="4"/>
        <v>153.916232450427</v>
      </c>
      <c r="E21" s="14">
        <f t="shared" si="0"/>
        <v>106.42152383294359</v>
      </c>
      <c r="F21" s="14">
        <f t="shared" si="5"/>
        <v>151.86112166474709</v>
      </c>
      <c r="G21" s="14">
        <f t="shared" si="2"/>
        <v>98.664786193787705</v>
      </c>
      <c r="H21" s="15">
        <f t="shared" si="6"/>
        <v>166.01667759992921</v>
      </c>
      <c r="I21" s="86"/>
    </row>
    <row r="22" spans="1:9" x14ac:dyDescent="0.3">
      <c r="A22" s="3" t="s">
        <v>23</v>
      </c>
      <c r="B22" s="13">
        <v>21</v>
      </c>
      <c r="C22" s="28">
        <v>171.3</v>
      </c>
      <c r="D22" s="14">
        <f t="shared" si="4"/>
        <v>154.78855116514691</v>
      </c>
      <c r="E22" s="14">
        <f t="shared" si="0"/>
        <v>110.66709954358105</v>
      </c>
      <c r="F22" s="14">
        <f t="shared" si="5"/>
        <v>159.91226101025944</v>
      </c>
      <c r="G22" s="14">
        <f t="shared" si="2"/>
        <v>103.3101348946964</v>
      </c>
      <c r="H22" s="15">
        <f t="shared" si="6"/>
        <v>165.81141838078656</v>
      </c>
      <c r="I22" s="86"/>
    </row>
    <row r="23" spans="1:9" x14ac:dyDescent="0.3">
      <c r="A23" s="3" t="s">
        <v>24</v>
      </c>
      <c r="B23" s="13">
        <v>22</v>
      </c>
      <c r="C23" s="28">
        <v>173.5</v>
      </c>
      <c r="D23" s="14">
        <f t="shared" si="4"/>
        <v>155.66086987986685</v>
      </c>
      <c r="E23" s="14">
        <f t="shared" si="0"/>
        <v>111.46025339181304</v>
      </c>
      <c r="F23" s="14">
        <f t="shared" si="5"/>
        <v>164.6170592857618</v>
      </c>
      <c r="G23" s="14">
        <f t="shared" si="2"/>
        <v>105.75365498908428</v>
      </c>
      <c r="H23" s="15">
        <f t="shared" si="6"/>
        <v>164.06052350427831</v>
      </c>
      <c r="I23" s="86"/>
    </row>
    <row r="24" spans="1:9" x14ac:dyDescent="0.3">
      <c r="A24" s="3" t="s">
        <v>25</v>
      </c>
      <c r="B24" s="13">
        <v>23</v>
      </c>
      <c r="C24" s="28">
        <v>153.69999999999999</v>
      </c>
      <c r="D24" s="14">
        <f t="shared" si="4"/>
        <v>156.53318859458679</v>
      </c>
      <c r="E24" s="14">
        <f t="shared" si="0"/>
        <v>98.190039684220181</v>
      </c>
      <c r="F24" s="14">
        <f t="shared" si="5"/>
        <v>169.66382664270841</v>
      </c>
      <c r="G24" s="14">
        <f t="shared" si="2"/>
        <v>108.38840514654649</v>
      </c>
      <c r="H24" s="15">
        <f t="shared" si="6"/>
        <v>141.80483585139018</v>
      </c>
      <c r="I24" s="86"/>
    </row>
    <row r="25" spans="1:9" x14ac:dyDescent="0.3">
      <c r="A25" s="3" t="s">
        <v>26</v>
      </c>
      <c r="B25" s="13">
        <v>24</v>
      </c>
      <c r="C25" s="28">
        <v>144.19999999999999</v>
      </c>
      <c r="D25" s="14">
        <f t="shared" si="4"/>
        <v>157.4055073093067</v>
      </c>
      <c r="E25" s="14">
        <f t="shared" si="0"/>
        <v>91.610517614636265</v>
      </c>
      <c r="F25" s="14">
        <f t="shared" si="5"/>
        <v>172.7966389996279</v>
      </c>
      <c r="G25" s="14">
        <f t="shared" si="2"/>
        <v>109.77801345926046</v>
      </c>
      <c r="H25" s="15">
        <f t="shared" si="6"/>
        <v>131.35599329597437</v>
      </c>
      <c r="I25" s="86"/>
    </row>
    <row r="26" spans="1:9" x14ac:dyDescent="0.3">
      <c r="A26" s="3" t="s">
        <v>29</v>
      </c>
      <c r="B26" s="13">
        <v>25</v>
      </c>
      <c r="C26" s="55">
        <v>124.5</v>
      </c>
      <c r="D26" s="14">
        <f t="shared" si="4"/>
        <v>158.27782602402664</v>
      </c>
      <c r="E26" s="14">
        <f t="shared" si="0"/>
        <v>78.659154682286854</v>
      </c>
      <c r="F26" s="14">
        <f t="shared" ref="F26:F37" si="7">(C26/G65)*100</f>
        <v>155.91151774104483</v>
      </c>
      <c r="G26" s="14">
        <f t="shared" si="2"/>
        <v>98.504965387493641</v>
      </c>
      <c r="H26" s="15">
        <f t="shared" ref="H26:H37" si="8">D26*G65/100</f>
        <v>126.38956778498269</v>
      </c>
      <c r="I26" s="86"/>
    </row>
    <row r="27" spans="1:9" x14ac:dyDescent="0.3">
      <c r="A27" s="3" t="s">
        <v>16</v>
      </c>
      <c r="B27" s="13">
        <v>26</v>
      </c>
      <c r="C27" s="55">
        <v>126.4</v>
      </c>
      <c r="D27" s="14">
        <f t="shared" si="4"/>
        <v>159.15014473874658</v>
      </c>
      <c r="E27" s="14">
        <f t="shared" si="0"/>
        <v>79.421856767703432</v>
      </c>
      <c r="F27" s="14">
        <f t="shared" si="7"/>
        <v>152.15749133074144</v>
      </c>
      <c r="G27" s="14">
        <f t="shared" si="2"/>
        <v>95.606253818063465</v>
      </c>
      <c r="H27" s="15">
        <f t="shared" si="8"/>
        <v>132.20892457572529</v>
      </c>
      <c r="I27" s="86"/>
    </row>
    <row r="28" spans="1:9" x14ac:dyDescent="0.3">
      <c r="A28" s="3" t="s">
        <v>17</v>
      </c>
      <c r="B28" s="13">
        <v>27</v>
      </c>
      <c r="C28" s="28">
        <v>173.8</v>
      </c>
      <c r="D28" s="14">
        <f t="shared" si="4"/>
        <v>160.02246345346651</v>
      </c>
      <c r="E28" s="14">
        <f t="shared" si="0"/>
        <v>108.60975156187362</v>
      </c>
      <c r="F28" s="14">
        <f t="shared" si="7"/>
        <v>176.1554339990615</v>
      </c>
      <c r="G28" s="14">
        <f t="shared" si="2"/>
        <v>110.08169115599596</v>
      </c>
      <c r="H28" s="15">
        <f t="shared" si="8"/>
        <v>157.88274887029971</v>
      </c>
      <c r="I28" s="86"/>
    </row>
    <row r="29" spans="1:9" x14ac:dyDescent="0.3">
      <c r="A29" s="3" t="s">
        <v>18</v>
      </c>
      <c r="B29" s="13">
        <v>28</v>
      </c>
      <c r="C29" s="55">
        <v>179.5</v>
      </c>
      <c r="D29" s="14">
        <f t="shared" si="4"/>
        <v>160.89478216818642</v>
      </c>
      <c r="E29" s="14">
        <f t="shared" si="0"/>
        <v>111.56359303955871</v>
      </c>
      <c r="F29" s="14">
        <f t="shared" si="7"/>
        <v>168.1173517702079</v>
      </c>
      <c r="G29" s="14">
        <f t="shared" si="2"/>
        <v>104.48900175921901</v>
      </c>
      <c r="H29" s="15">
        <f t="shared" si="8"/>
        <v>171.78841502729045</v>
      </c>
      <c r="I29" s="86"/>
    </row>
    <row r="30" spans="1:9" x14ac:dyDescent="0.3">
      <c r="A30" s="3" t="s">
        <v>19</v>
      </c>
      <c r="B30" s="13">
        <v>29</v>
      </c>
      <c r="C30" s="55">
        <v>187.6</v>
      </c>
      <c r="D30" s="14">
        <f t="shared" si="4"/>
        <v>161.76710088290636</v>
      </c>
      <c r="E30" s="14">
        <f t="shared" si="0"/>
        <v>115.96919211390981</v>
      </c>
      <c r="F30" s="14">
        <f t="shared" si="7"/>
        <v>162.89611685176172</v>
      </c>
      <c r="G30" s="14">
        <f t="shared" si="2"/>
        <v>100.69792681125725</v>
      </c>
      <c r="H30" s="15">
        <f t="shared" si="8"/>
        <v>186.29976399775074</v>
      </c>
      <c r="I30" s="86"/>
    </row>
    <row r="31" spans="1:9" x14ac:dyDescent="0.3">
      <c r="A31" s="3" t="s">
        <v>20</v>
      </c>
      <c r="B31" s="13">
        <v>30</v>
      </c>
      <c r="C31" s="28">
        <v>172.3</v>
      </c>
      <c r="D31" s="14">
        <f t="shared" si="4"/>
        <v>162.6394195976263</v>
      </c>
      <c r="E31" s="14">
        <f t="shared" si="0"/>
        <v>105.93987633888156</v>
      </c>
      <c r="F31" s="14">
        <f t="shared" si="7"/>
        <v>153.85666644402966</v>
      </c>
      <c r="G31" s="14">
        <f t="shared" si="2"/>
        <v>94.59986196745821</v>
      </c>
      <c r="H31" s="15">
        <f t="shared" si="8"/>
        <v>182.13557231116275</v>
      </c>
      <c r="I31" s="86"/>
    </row>
    <row r="32" spans="1:9" x14ac:dyDescent="0.3">
      <c r="A32" s="3" t="s">
        <v>21</v>
      </c>
      <c r="B32" s="13">
        <v>31</v>
      </c>
      <c r="C32" s="28">
        <v>182</v>
      </c>
      <c r="D32" s="14">
        <f t="shared" si="4"/>
        <v>163.51173831234621</v>
      </c>
      <c r="E32" s="14">
        <f t="shared" si="0"/>
        <v>111.30699353971568</v>
      </c>
      <c r="F32" s="14">
        <f t="shared" si="7"/>
        <v>165.35199257783091</v>
      </c>
      <c r="G32" s="14">
        <f t="shared" si="2"/>
        <v>101.12545697604254</v>
      </c>
      <c r="H32" s="15">
        <f t="shared" si="8"/>
        <v>179.97446483047028</v>
      </c>
      <c r="I32" s="86"/>
    </row>
    <row r="33" spans="1:9" x14ac:dyDescent="0.3">
      <c r="A33" s="3" t="s">
        <v>22</v>
      </c>
      <c r="B33" s="13">
        <v>32</v>
      </c>
      <c r="C33" s="55">
        <v>185.9</v>
      </c>
      <c r="D33" s="14">
        <f t="shared" si="4"/>
        <v>164.38405702706615</v>
      </c>
      <c r="E33" s="14">
        <f t="shared" si="0"/>
        <v>113.08882586429365</v>
      </c>
      <c r="F33" s="14">
        <f t="shared" si="7"/>
        <v>172.35032061951458</v>
      </c>
      <c r="G33" s="14">
        <f t="shared" si="2"/>
        <v>104.84612908120205</v>
      </c>
      <c r="H33" s="15">
        <f t="shared" si="8"/>
        <v>177.30745200523589</v>
      </c>
      <c r="I33" s="86"/>
    </row>
    <row r="34" spans="1:9" x14ac:dyDescent="0.3">
      <c r="A34" s="3" t="s">
        <v>23</v>
      </c>
      <c r="B34" s="13">
        <v>33</v>
      </c>
      <c r="C34" s="28">
        <v>164</v>
      </c>
      <c r="D34" s="14">
        <f t="shared" si="4"/>
        <v>165.25637574178609</v>
      </c>
      <c r="E34" s="14">
        <f t="shared" si="0"/>
        <v>99.239741440445741</v>
      </c>
      <c r="F34" s="14">
        <f t="shared" si="7"/>
        <v>153.09755286446321</v>
      </c>
      <c r="G34" s="14">
        <f t="shared" si="2"/>
        <v>92.642448545331106</v>
      </c>
      <c r="H34" s="15">
        <f t="shared" si="8"/>
        <v>177.02468207082501</v>
      </c>
      <c r="I34" s="86"/>
    </row>
    <row r="35" spans="1:9" x14ac:dyDescent="0.3">
      <c r="A35" s="3" t="s">
        <v>24</v>
      </c>
      <c r="B35" s="13">
        <v>34</v>
      </c>
      <c r="C35" s="28">
        <v>181.3</v>
      </c>
      <c r="D35" s="14">
        <f t="shared" si="4"/>
        <v>166.12869445650603</v>
      </c>
      <c r="E35" s="14">
        <f t="shared" si="0"/>
        <v>109.13226074106419</v>
      </c>
      <c r="F35" s="14">
        <f t="shared" si="7"/>
        <v>172.01771094241278</v>
      </c>
      <c r="G35" s="14">
        <f t="shared" si="2"/>
        <v>103.54485208300277</v>
      </c>
      <c r="H35" s="15">
        <f t="shared" si="8"/>
        <v>175.09320487962822</v>
      </c>
      <c r="I35" s="86"/>
    </row>
    <row r="36" spans="1:9" x14ac:dyDescent="0.3">
      <c r="A36" s="3" t="s">
        <v>25</v>
      </c>
      <c r="B36" s="13">
        <v>35</v>
      </c>
      <c r="C36" s="55">
        <v>138.1</v>
      </c>
      <c r="D36" s="14">
        <f t="shared" si="4"/>
        <v>167.00101317122594</v>
      </c>
      <c r="E36" s="14">
        <f t="shared" si="0"/>
        <v>82.694109082084566</v>
      </c>
      <c r="F36" s="14">
        <f t="shared" si="7"/>
        <v>152.44355536342246</v>
      </c>
      <c r="G36" s="14">
        <f t="shared" si="2"/>
        <v>91.283012281561597</v>
      </c>
      <c r="H36" s="15">
        <f t="shared" si="8"/>
        <v>151.28773311515164</v>
      </c>
      <c r="I36" s="86"/>
    </row>
    <row r="37" spans="1:9" x14ac:dyDescent="0.3">
      <c r="A37" s="3" t="s">
        <v>26</v>
      </c>
      <c r="B37" s="13">
        <v>36</v>
      </c>
      <c r="C37" s="28">
        <v>140.19999999999999</v>
      </c>
      <c r="D37" s="14">
        <f t="shared" si="4"/>
        <v>167.87333188594587</v>
      </c>
      <c r="E37" s="14">
        <f t="shared" si="0"/>
        <v>83.515349594212324</v>
      </c>
      <c r="F37" s="14">
        <f t="shared" si="7"/>
        <v>168.00338965151062</v>
      </c>
      <c r="G37" s="14">
        <f t="shared" si="2"/>
        <v>100.07747375006122</v>
      </c>
      <c r="H37" s="15">
        <f t="shared" si="8"/>
        <v>140.09146588786095</v>
      </c>
      <c r="I37" s="86"/>
    </row>
    <row r="38" spans="1:9" x14ac:dyDescent="0.3">
      <c r="A38" s="3" t="s">
        <v>30</v>
      </c>
      <c r="B38" s="13">
        <v>37</v>
      </c>
      <c r="C38" s="55">
        <v>142.9</v>
      </c>
      <c r="D38" s="14">
        <f t="shared" si="4"/>
        <v>168.74565060066581</v>
      </c>
      <c r="E38" s="14">
        <f t="shared" si="0"/>
        <v>84.683664136725412</v>
      </c>
      <c r="F38" s="14">
        <f t="shared" ref="F38:F49" si="9">(C38/G65)*100</f>
        <v>178.95386253168923</v>
      </c>
      <c r="G38" s="14">
        <f t="shared" si="2"/>
        <v>106.04946669421484</v>
      </c>
      <c r="H38" s="15">
        <f t="shared" ref="H38:H49" si="10">D38*G65/100</f>
        <v>134.74843811524366</v>
      </c>
      <c r="I38" s="86"/>
    </row>
    <row r="39" spans="1:9" x14ac:dyDescent="0.3">
      <c r="A39" s="3" t="s">
        <v>16</v>
      </c>
      <c r="B39" s="13">
        <v>38</v>
      </c>
      <c r="C39" s="28">
        <v>149.1</v>
      </c>
      <c r="D39" s="14">
        <f t="shared" si="4"/>
        <v>169.61796931538572</v>
      </c>
      <c r="E39" s="14">
        <f t="shared" si="0"/>
        <v>87.903422380187308</v>
      </c>
      <c r="F39" s="14">
        <f t="shared" si="9"/>
        <v>179.48324333396792</v>
      </c>
      <c r="G39" s="14">
        <f t="shared" si="2"/>
        <v>105.81617269585324</v>
      </c>
      <c r="H39" s="15">
        <f t="shared" si="10"/>
        <v>140.90473715067844</v>
      </c>
      <c r="I39" s="86"/>
    </row>
    <row r="40" spans="1:9" x14ac:dyDescent="0.3">
      <c r="A40" s="3" t="s">
        <v>17</v>
      </c>
      <c r="B40" s="13">
        <v>39</v>
      </c>
      <c r="C40" s="28">
        <v>156.19999999999999</v>
      </c>
      <c r="D40" s="14">
        <f t="shared" si="4"/>
        <v>170.49028803010566</v>
      </c>
      <c r="E40" s="14">
        <f t="shared" si="0"/>
        <v>91.618121949807346</v>
      </c>
      <c r="F40" s="14">
        <f t="shared" si="9"/>
        <v>158.31690903713121</v>
      </c>
      <c r="G40" s="14">
        <f t="shared" si="2"/>
        <v>92.859781554932425</v>
      </c>
      <c r="H40" s="15">
        <f t="shared" si="10"/>
        <v>168.21060461745526</v>
      </c>
      <c r="I40" s="86"/>
    </row>
    <row r="41" spans="1:9" x14ac:dyDescent="0.3">
      <c r="A41" s="3" t="s">
        <v>18</v>
      </c>
      <c r="B41" s="13">
        <v>40</v>
      </c>
      <c r="C41" s="28">
        <v>184.6</v>
      </c>
      <c r="D41" s="14">
        <f t="shared" si="4"/>
        <v>171.3626067448256</v>
      </c>
      <c r="E41" s="14">
        <f t="shared" si="0"/>
        <v>107.7247851830861</v>
      </c>
      <c r="F41" s="14">
        <f t="shared" si="9"/>
        <v>172.89394505170125</v>
      </c>
      <c r="G41" s="14">
        <f t="shared" si="2"/>
        <v>100.89362454036193</v>
      </c>
      <c r="H41" s="15">
        <f t="shared" si="10"/>
        <v>182.96498003811112</v>
      </c>
      <c r="I41" s="86"/>
    </row>
    <row r="42" spans="1:9" x14ac:dyDescent="0.3">
      <c r="A42" s="3" t="s">
        <v>19</v>
      </c>
      <c r="B42" s="13">
        <v>41</v>
      </c>
      <c r="C42" s="55">
        <v>197.9</v>
      </c>
      <c r="D42" s="14">
        <f t="shared" si="4"/>
        <v>172.23492545954554</v>
      </c>
      <c r="E42" s="14">
        <f t="shared" si="0"/>
        <v>114.90120222247413</v>
      </c>
      <c r="F42" s="14">
        <f t="shared" si="9"/>
        <v>171.83977358722623</v>
      </c>
      <c r="G42" s="14">
        <f t="shared" si="2"/>
        <v>99.770573900000258</v>
      </c>
      <c r="H42" s="15">
        <f t="shared" si="10"/>
        <v>198.35507832034179</v>
      </c>
      <c r="I42" s="86"/>
    </row>
    <row r="43" spans="1:9" x14ac:dyDescent="0.3">
      <c r="A43" s="3" t="s">
        <v>20</v>
      </c>
      <c r="B43" s="13">
        <v>42</v>
      </c>
      <c r="C43" s="55">
        <v>192.8</v>
      </c>
      <c r="D43" s="14">
        <f t="shared" si="4"/>
        <v>173.10724417426545</v>
      </c>
      <c r="E43" s="14">
        <f t="shared" si="0"/>
        <v>111.3760437465633</v>
      </c>
      <c r="F43" s="14">
        <f t="shared" si="9"/>
        <v>172.16230580620382</v>
      </c>
      <c r="G43" s="14">
        <f t="shared" si="2"/>
        <v>99.454131239527811</v>
      </c>
      <c r="H43" s="15">
        <f t="shared" si="10"/>
        <v>193.85821141572862</v>
      </c>
      <c r="I43" s="86"/>
    </row>
    <row r="44" spans="1:9" x14ac:dyDescent="0.3">
      <c r="A44" s="3" t="s">
        <v>21</v>
      </c>
      <c r="B44" s="13">
        <v>43</v>
      </c>
      <c r="C44" s="28">
        <v>187.6</v>
      </c>
      <c r="D44" s="14">
        <f t="shared" si="4"/>
        <v>173.97956288898538</v>
      </c>
      <c r="E44" s="14">
        <f t="shared" si="0"/>
        <v>107.82875694411629</v>
      </c>
      <c r="F44" s="14">
        <f t="shared" si="9"/>
        <v>170.4397461956103</v>
      </c>
      <c r="G44" s="14">
        <f t="shared" si="2"/>
        <v>97.965383614836526</v>
      </c>
      <c r="H44" s="15">
        <f t="shared" si="10"/>
        <v>191.49621333344996</v>
      </c>
      <c r="I44" s="86"/>
    </row>
    <row r="45" spans="1:9" x14ac:dyDescent="0.3">
      <c r="A45" s="3" t="s">
        <v>22</v>
      </c>
      <c r="B45" s="13">
        <v>44</v>
      </c>
      <c r="C45" s="28">
        <v>192</v>
      </c>
      <c r="D45" s="14">
        <f t="shared" si="4"/>
        <v>174.85188160370532</v>
      </c>
      <c r="E45" s="14">
        <f t="shared" si="0"/>
        <v>109.80722554370917</v>
      </c>
      <c r="F45" s="14">
        <f t="shared" si="9"/>
        <v>178.00571037626034</v>
      </c>
      <c r="G45" s="14">
        <f t="shared" si="2"/>
        <v>101.80371451746973</v>
      </c>
      <c r="H45" s="15">
        <f t="shared" si="10"/>
        <v>188.59822641054262</v>
      </c>
      <c r="I45" s="86"/>
    </row>
    <row r="46" spans="1:9" x14ac:dyDescent="0.3">
      <c r="A46" s="3" t="s">
        <v>23</v>
      </c>
      <c r="B46" s="13">
        <v>45</v>
      </c>
      <c r="C46" s="28">
        <v>187.9</v>
      </c>
      <c r="D46" s="14">
        <f t="shared" si="4"/>
        <v>175.72420031842523</v>
      </c>
      <c r="E46" s="14">
        <f t="shared" si="0"/>
        <v>106.92892593024257</v>
      </c>
      <c r="F46" s="14">
        <f t="shared" si="9"/>
        <v>175.4087206294673</v>
      </c>
      <c r="G46" s="14">
        <f t="shared" si="2"/>
        <v>99.820468843570637</v>
      </c>
      <c r="H46" s="15">
        <f t="shared" si="10"/>
        <v>188.2379457608634</v>
      </c>
      <c r="I46" s="86"/>
    </row>
    <row r="47" spans="1:9" x14ac:dyDescent="0.3">
      <c r="A47" s="3" t="s">
        <v>24</v>
      </c>
      <c r="B47" s="13">
        <v>46</v>
      </c>
      <c r="C47" s="55">
        <v>180.4</v>
      </c>
      <c r="D47" s="14">
        <f t="shared" si="4"/>
        <v>176.59651903314517</v>
      </c>
      <c r="E47" s="14">
        <f t="shared" si="0"/>
        <v>102.15376893478911</v>
      </c>
      <c r="F47" s="14">
        <f t="shared" si="9"/>
        <v>171.16378959741459</v>
      </c>
      <c r="G47" s="14">
        <f t="shared" si="2"/>
        <v>96.923648628254725</v>
      </c>
      <c r="H47" s="15">
        <f t="shared" si="10"/>
        <v>186.1258862549781</v>
      </c>
      <c r="I47" s="86"/>
    </row>
    <row r="48" spans="1:9" x14ac:dyDescent="0.3">
      <c r="A48" s="3" t="s">
        <v>25</v>
      </c>
      <c r="B48" s="13">
        <v>47</v>
      </c>
      <c r="C48" s="55">
        <v>160.69999999999999</v>
      </c>
      <c r="D48" s="14">
        <f t="shared" si="4"/>
        <v>177.46883774786511</v>
      </c>
      <c r="E48" s="14">
        <f t="shared" si="0"/>
        <v>90.551108599872009</v>
      </c>
      <c r="F48" s="14">
        <f t="shared" si="9"/>
        <v>177.39087144751622</v>
      </c>
      <c r="G48" s="14">
        <f t="shared" si="2"/>
        <v>99.956067610889718</v>
      </c>
      <c r="H48" s="15">
        <f t="shared" si="10"/>
        <v>160.7706303789131</v>
      </c>
      <c r="I48" s="86"/>
    </row>
    <row r="49" spans="1:9" x14ac:dyDescent="0.3">
      <c r="A49" s="5" t="s">
        <v>26</v>
      </c>
      <c r="B49" s="6">
        <v>48</v>
      </c>
      <c r="C49" s="55">
        <v>136</v>
      </c>
      <c r="D49" s="16">
        <f t="shared" si="4"/>
        <v>178.34115646258505</v>
      </c>
      <c r="E49" s="16">
        <f t="shared" si="0"/>
        <v>76.258336941160309</v>
      </c>
      <c r="F49" s="16">
        <f t="shared" si="9"/>
        <v>162.97047783598751</v>
      </c>
      <c r="G49" s="16">
        <f t="shared" si="2"/>
        <v>91.381305957931133</v>
      </c>
      <c r="H49" s="17">
        <f t="shared" si="10"/>
        <v>148.82693847974753</v>
      </c>
      <c r="I49" s="86"/>
    </row>
    <row r="50" spans="1:9" x14ac:dyDescent="0.3">
      <c r="A50" s="18" t="s">
        <v>74</v>
      </c>
      <c r="B50" s="19">
        <v>49</v>
      </c>
      <c r="C50" s="19"/>
      <c r="D50" s="20">
        <f t="shared" si="4"/>
        <v>179.21347517730499</v>
      </c>
      <c r="E50" s="20">
        <f>G65</f>
        <v>79.852984438765731</v>
      </c>
      <c r="F50" s="20"/>
      <c r="G50" s="21"/>
      <c r="H50" s="22">
        <f>D50*G65/100</f>
        <v>143.10730844550463</v>
      </c>
      <c r="I50" s="15">
        <v>143.1073084455046</v>
      </c>
    </row>
    <row r="51" spans="1:9" x14ac:dyDescent="0.3">
      <c r="A51" s="24" t="s">
        <v>16</v>
      </c>
      <c r="B51" s="13">
        <v>50</v>
      </c>
      <c r="C51" s="13"/>
      <c r="D51" s="14">
        <f t="shared" si="4"/>
        <v>180.0857938920249</v>
      </c>
      <c r="E51" s="14">
        <f t="shared" ref="E51:E61" si="11">G66</f>
        <v>83.071821764757587</v>
      </c>
      <c r="F51" s="14"/>
      <c r="G51" s="25"/>
      <c r="H51" s="15">
        <f t="shared" ref="H51:H61" si="12">D51*G66/100</f>
        <v>149.60054972563162</v>
      </c>
      <c r="I51" s="15">
        <v>149.60054972563159</v>
      </c>
    </row>
    <row r="52" spans="1:9" x14ac:dyDescent="0.3">
      <c r="A52" s="24" t="s">
        <v>17</v>
      </c>
      <c r="B52" s="13">
        <v>51</v>
      </c>
      <c r="C52" s="13"/>
      <c r="D52" s="14">
        <f t="shared" si="4"/>
        <v>180.95811260674483</v>
      </c>
      <c r="E52" s="14">
        <f t="shared" si="11"/>
        <v>98.662866114550837</v>
      </c>
      <c r="F52" s="14"/>
      <c r="G52" s="25"/>
      <c r="H52" s="15">
        <f t="shared" si="12"/>
        <v>178.53846036461081</v>
      </c>
      <c r="I52" s="15">
        <v>178.53846036461076</v>
      </c>
    </row>
    <row r="53" spans="1:9" x14ac:dyDescent="0.3">
      <c r="A53" s="24" t="s">
        <v>18</v>
      </c>
      <c r="B53" s="13">
        <v>52</v>
      </c>
      <c r="C53" s="13"/>
      <c r="D53" s="14">
        <f t="shared" si="4"/>
        <v>181.83043132146474</v>
      </c>
      <c r="E53" s="14">
        <f t="shared" si="11"/>
        <v>106.77065639562925</v>
      </c>
      <c r="F53" s="14"/>
      <c r="G53" s="25"/>
      <c r="H53" s="15">
        <f t="shared" si="12"/>
        <v>194.14154504893173</v>
      </c>
      <c r="I53" s="15">
        <v>194.14154504893176</v>
      </c>
    </row>
    <row r="54" spans="1:9" x14ac:dyDescent="0.3">
      <c r="A54" s="24" t="s">
        <v>19</v>
      </c>
      <c r="B54" s="13">
        <v>53</v>
      </c>
      <c r="C54" s="13"/>
      <c r="D54" s="14">
        <f t="shared" si="4"/>
        <v>182.70275003618468</v>
      </c>
      <c r="E54" s="14">
        <f t="shared" si="11"/>
        <v>115.16542175816214</v>
      </c>
      <c r="F54" s="14"/>
      <c r="G54" s="25"/>
      <c r="H54" s="15">
        <f t="shared" si="12"/>
        <v>210.41039264293283</v>
      </c>
      <c r="I54" s="15">
        <v>210.41039264293286</v>
      </c>
    </row>
    <row r="55" spans="1:9" x14ac:dyDescent="0.3">
      <c r="A55" s="24" t="s">
        <v>20</v>
      </c>
      <c r="B55" s="13">
        <v>54</v>
      </c>
      <c r="C55" s="13"/>
      <c r="D55" s="14">
        <f t="shared" si="4"/>
        <v>183.57506875090462</v>
      </c>
      <c r="E55" s="14">
        <f t="shared" si="11"/>
        <v>111.9873476933024</v>
      </c>
      <c r="F55" s="14"/>
      <c r="G55" s="25"/>
      <c r="H55" s="15">
        <f t="shared" si="12"/>
        <v>205.58085052029449</v>
      </c>
      <c r="I55" s="15">
        <v>205.58085052029443</v>
      </c>
    </row>
    <row r="56" spans="1:9" x14ac:dyDescent="0.3">
      <c r="A56" s="24" t="s">
        <v>21</v>
      </c>
      <c r="B56" s="13">
        <v>55</v>
      </c>
      <c r="C56" s="13"/>
      <c r="D56" s="14">
        <f t="shared" si="4"/>
        <v>184.44738746562456</v>
      </c>
      <c r="E56" s="14">
        <f t="shared" si="11"/>
        <v>110.06822304504912</v>
      </c>
      <c r="F56" s="14"/>
      <c r="G56" s="25"/>
      <c r="H56" s="15">
        <f t="shared" si="12"/>
        <v>203.01796183642961</v>
      </c>
      <c r="I56" s="15">
        <v>203.01796183642961</v>
      </c>
    </row>
    <row r="57" spans="1:9" x14ac:dyDescent="0.3">
      <c r="A57" s="24" t="s">
        <v>22</v>
      </c>
      <c r="B57" s="13">
        <v>56</v>
      </c>
      <c r="C57" s="13"/>
      <c r="D57" s="14">
        <f t="shared" si="4"/>
        <v>185.3197061803445</v>
      </c>
      <c r="E57" s="14">
        <f t="shared" si="11"/>
        <v>107.86170825315614</v>
      </c>
      <c r="F57" s="14"/>
      <c r="G57" s="25"/>
      <c r="H57" s="15">
        <f t="shared" si="12"/>
        <v>199.88900081584936</v>
      </c>
      <c r="I57" s="15">
        <v>199.88900081584927</v>
      </c>
    </row>
    <row r="58" spans="1:9" x14ac:dyDescent="0.3">
      <c r="A58" s="24" t="s">
        <v>23</v>
      </c>
      <c r="B58" s="13">
        <v>57</v>
      </c>
      <c r="C58" s="13"/>
      <c r="D58" s="14">
        <f t="shared" si="4"/>
        <v>186.19202489506441</v>
      </c>
      <c r="E58" s="14">
        <f t="shared" si="11"/>
        <v>107.1212419346694</v>
      </c>
      <c r="F58" s="14"/>
      <c r="G58" s="25"/>
      <c r="H58" s="15">
        <f t="shared" si="12"/>
        <v>199.45120945090181</v>
      </c>
      <c r="I58" s="15">
        <v>199.45120945090181</v>
      </c>
    </row>
    <row r="59" spans="1:9" x14ac:dyDescent="0.3">
      <c r="A59" s="24" t="s">
        <v>24</v>
      </c>
      <c r="B59" s="13">
        <v>58</v>
      </c>
      <c r="C59" s="13"/>
      <c r="D59" s="14">
        <f t="shared" si="4"/>
        <v>187.06434360978434</v>
      </c>
      <c r="E59" s="14">
        <f t="shared" si="11"/>
        <v>105.3961240425381</v>
      </c>
      <c r="F59" s="14"/>
      <c r="G59" s="25"/>
      <c r="H59" s="15">
        <f t="shared" si="12"/>
        <v>197.15856763032801</v>
      </c>
      <c r="I59" s="15">
        <v>197.15856763032804</v>
      </c>
    </row>
    <row r="60" spans="1:9" x14ac:dyDescent="0.3">
      <c r="A60" s="24" t="s">
        <v>25</v>
      </c>
      <c r="B60" s="13">
        <v>59</v>
      </c>
      <c r="C60" s="13"/>
      <c r="D60" s="14">
        <f t="shared" si="4"/>
        <v>187.93666232450428</v>
      </c>
      <c r="E60" s="14">
        <f t="shared" si="11"/>
        <v>90.590907349787457</v>
      </c>
      <c r="F60" s="14"/>
      <c r="G60" s="25"/>
      <c r="H60" s="15">
        <f t="shared" si="12"/>
        <v>170.25352764267461</v>
      </c>
      <c r="I60" s="15">
        <v>170.25352764267461</v>
      </c>
    </row>
    <row r="61" spans="1:9" x14ac:dyDescent="0.3">
      <c r="A61" s="26" t="s">
        <v>26</v>
      </c>
      <c r="B61" s="6">
        <v>60</v>
      </c>
      <c r="C61" s="6"/>
      <c r="D61" s="16">
        <f t="shared" si="4"/>
        <v>188.80898103922419</v>
      </c>
      <c r="E61" s="16">
        <f t="shared" si="11"/>
        <v>83.450697209631784</v>
      </c>
      <c r="F61" s="16"/>
      <c r="G61" s="27"/>
      <c r="H61" s="17">
        <f t="shared" si="12"/>
        <v>157.56241107163407</v>
      </c>
      <c r="I61" s="17">
        <v>157.56241107163407</v>
      </c>
    </row>
    <row r="62" spans="1:9" x14ac:dyDescent="0.3">
      <c r="A62" s="28"/>
      <c r="C62" s="29"/>
      <c r="D62" s="29"/>
      <c r="E62" s="29"/>
      <c r="F62" s="29"/>
      <c r="G62" s="71"/>
      <c r="H62" s="83"/>
    </row>
    <row r="63" spans="1:9" x14ac:dyDescent="0.3">
      <c r="A63" s="31"/>
      <c r="B63" s="19"/>
      <c r="C63" s="32" t="s">
        <v>31</v>
      </c>
      <c r="D63" s="33" t="s">
        <v>32</v>
      </c>
      <c r="E63" s="34"/>
      <c r="F63" s="34"/>
      <c r="G63" s="84" t="s">
        <v>33</v>
      </c>
      <c r="H63" s="30"/>
    </row>
    <row r="64" spans="1:9" x14ac:dyDescent="0.3">
      <c r="A64" s="35" t="s">
        <v>34</v>
      </c>
      <c r="B64" s="16">
        <v>2002</v>
      </c>
      <c r="C64" s="16">
        <v>2003</v>
      </c>
      <c r="D64" s="16">
        <v>2004</v>
      </c>
      <c r="E64" s="16">
        <v>2005</v>
      </c>
      <c r="F64" s="7" t="s">
        <v>35</v>
      </c>
      <c r="G64" s="7" t="s">
        <v>36</v>
      </c>
      <c r="H64" s="30"/>
    </row>
    <row r="65" spans="1:8" x14ac:dyDescent="0.3">
      <c r="A65" s="3" t="s">
        <v>37</v>
      </c>
      <c r="B65" s="23">
        <f>E2</f>
        <v>80.383173265046324</v>
      </c>
      <c r="C65" s="23">
        <f>E14</f>
        <v>79.696907412541066</v>
      </c>
      <c r="D65" s="14">
        <f>E26</f>
        <v>78.659154682286854</v>
      </c>
      <c r="E65" s="23">
        <f>E38</f>
        <v>84.683664136725412</v>
      </c>
      <c r="F65" s="23">
        <f>MEDIAN(B65:E65)</f>
        <v>80.040040338793688</v>
      </c>
      <c r="G65" s="14">
        <f t="shared" ref="G65:G76" si="13">F65*$F$78</f>
        <v>79.852984438765731</v>
      </c>
      <c r="H65" s="36"/>
    </row>
    <row r="66" spans="1:8" x14ac:dyDescent="0.3">
      <c r="A66" s="3" t="s">
        <v>16</v>
      </c>
      <c r="B66" s="23">
        <f t="shared" ref="B66:B76" si="14">E3</f>
        <v>87.11097883763415</v>
      </c>
      <c r="C66" s="23">
        <f t="shared" ref="C66:C76" si="15">E15</f>
        <v>73.781469027652236</v>
      </c>
      <c r="D66" s="14">
        <f t="shared" ref="D66:D76" si="16">E27</f>
        <v>79.421856767703432</v>
      </c>
      <c r="E66" s="23">
        <f t="shared" ref="E66:E76" si="17">E39</f>
        <v>87.903422380187308</v>
      </c>
      <c r="F66" s="23">
        <f t="shared" ref="F66:F76" si="18">MEDIAN(B66:E66)</f>
        <v>83.266417802668798</v>
      </c>
      <c r="G66" s="14">
        <f t="shared" si="13"/>
        <v>83.071821764757587</v>
      </c>
      <c r="H66" s="36"/>
    </row>
    <row r="67" spans="1:8" x14ac:dyDescent="0.3">
      <c r="A67" s="3" t="s">
        <v>17</v>
      </c>
      <c r="B67" s="23">
        <f t="shared" si="14"/>
        <v>99.36240232070152</v>
      </c>
      <c r="C67" s="23">
        <f t="shared" si="15"/>
        <v>98.425566137893838</v>
      </c>
      <c r="D67" s="14">
        <f t="shared" si="16"/>
        <v>108.60975156187362</v>
      </c>
      <c r="E67" s="23">
        <f t="shared" si="17"/>
        <v>91.618121949807346</v>
      </c>
      <c r="F67" s="23">
        <f t="shared" si="18"/>
        <v>98.893984229297672</v>
      </c>
      <c r="G67" s="14">
        <f t="shared" si="13"/>
        <v>98.662866114550837</v>
      </c>
      <c r="H67" s="36"/>
    </row>
    <row r="68" spans="1:8" x14ac:dyDescent="0.3">
      <c r="A68" s="3" t="s">
        <v>18</v>
      </c>
      <c r="B68" s="23">
        <f t="shared" si="14"/>
        <v>106.31674889280016</v>
      </c>
      <c r="C68" s="23">
        <f t="shared" si="15"/>
        <v>100.51389885219359</v>
      </c>
      <c r="D68" s="14">
        <f t="shared" si="16"/>
        <v>111.56359303955871</v>
      </c>
      <c r="E68" s="23">
        <f t="shared" si="17"/>
        <v>107.7247851830861</v>
      </c>
      <c r="F68" s="23">
        <f t="shared" si="18"/>
        <v>107.02076703794313</v>
      </c>
      <c r="G68" s="14">
        <f t="shared" si="13"/>
        <v>106.77065639562925</v>
      </c>
      <c r="H68" s="36"/>
    </row>
    <row r="69" spans="1:8" x14ac:dyDescent="0.3">
      <c r="A69" s="3" t="s">
        <v>19</v>
      </c>
      <c r="B69" s="23">
        <f t="shared" si="14"/>
        <v>117.51636297673853</v>
      </c>
      <c r="C69" s="23">
        <f t="shared" si="15"/>
        <v>109.05537952871576</v>
      </c>
      <c r="D69" s="14">
        <f t="shared" si="16"/>
        <v>115.96919211390981</v>
      </c>
      <c r="E69" s="23">
        <f t="shared" si="17"/>
        <v>114.90120222247413</v>
      </c>
      <c r="F69" s="23">
        <f t="shared" si="18"/>
        <v>115.43519716819196</v>
      </c>
      <c r="G69" s="14">
        <f t="shared" si="13"/>
        <v>115.16542175816214</v>
      </c>
      <c r="H69" s="36"/>
    </row>
    <row r="70" spans="1:8" x14ac:dyDescent="0.3">
      <c r="A70" s="3" t="s">
        <v>20</v>
      </c>
      <c r="B70" s="23">
        <f t="shared" si="14"/>
        <v>113.12331316050299</v>
      </c>
      <c r="C70" s="23">
        <f t="shared" si="15"/>
        <v>114.67317535571169</v>
      </c>
      <c r="D70" s="14">
        <f t="shared" si="16"/>
        <v>105.93987633888156</v>
      </c>
      <c r="E70" s="23">
        <f t="shared" si="17"/>
        <v>111.3760437465633</v>
      </c>
      <c r="F70" s="23">
        <f t="shared" si="18"/>
        <v>112.24967845353314</v>
      </c>
      <c r="G70" s="25">
        <f t="shared" si="13"/>
        <v>111.9873476933024</v>
      </c>
    </row>
    <row r="71" spans="1:8" x14ac:dyDescent="0.3">
      <c r="A71" s="3" t="s">
        <v>21</v>
      </c>
      <c r="B71" s="23">
        <f t="shared" si="14"/>
        <v>109.34512295821708</v>
      </c>
      <c r="C71" s="23">
        <f t="shared" si="15"/>
        <v>114.86899132989414</v>
      </c>
      <c r="D71" s="14">
        <f t="shared" si="16"/>
        <v>111.30699353971568</v>
      </c>
      <c r="E71" s="23">
        <f t="shared" si="17"/>
        <v>107.82875694411629</v>
      </c>
      <c r="F71" s="23">
        <f t="shared" si="18"/>
        <v>110.32605824896638</v>
      </c>
      <c r="G71" s="25">
        <f t="shared" si="13"/>
        <v>110.06822304504912</v>
      </c>
    </row>
    <row r="72" spans="1:8" x14ac:dyDescent="0.3">
      <c r="A72" s="3" t="s">
        <v>22</v>
      </c>
      <c r="B72" s="23">
        <f t="shared" si="14"/>
        <v>102.47586723258513</v>
      </c>
      <c r="C72" s="23">
        <f t="shared" si="15"/>
        <v>106.42152383294359</v>
      </c>
      <c r="D72" s="14">
        <f t="shared" si="16"/>
        <v>113.08882586429365</v>
      </c>
      <c r="E72" s="23">
        <f t="shared" si="17"/>
        <v>109.80722554370917</v>
      </c>
      <c r="F72" s="23">
        <f t="shared" si="18"/>
        <v>108.11437468832638</v>
      </c>
      <c r="G72" s="25">
        <f t="shared" si="13"/>
        <v>107.86170825315614</v>
      </c>
      <c r="H72" s="37"/>
    </row>
    <row r="73" spans="1:8" x14ac:dyDescent="0.3">
      <c r="A73" s="3" t="s">
        <v>23</v>
      </c>
      <c r="B73" s="23">
        <f t="shared" si="14"/>
        <v>107.81542171946799</v>
      </c>
      <c r="C73" s="23">
        <f t="shared" si="15"/>
        <v>110.66709954358105</v>
      </c>
      <c r="D73" s="14">
        <f t="shared" si="16"/>
        <v>99.239741440445741</v>
      </c>
      <c r="E73" s="23">
        <f t="shared" si="17"/>
        <v>106.92892593024257</v>
      </c>
      <c r="F73" s="23">
        <f t="shared" si="18"/>
        <v>107.37217382485528</v>
      </c>
      <c r="G73" s="25">
        <f t="shared" si="13"/>
        <v>107.1212419346694</v>
      </c>
      <c r="H73" s="37"/>
    </row>
    <row r="74" spans="1:8" x14ac:dyDescent="0.3">
      <c r="A74" s="3" t="s">
        <v>24</v>
      </c>
      <c r="B74" s="23">
        <f t="shared" si="14"/>
        <v>101.10677112214039</v>
      </c>
      <c r="C74" s="23">
        <f t="shared" si="15"/>
        <v>111.46025339181304</v>
      </c>
      <c r="D74" s="14">
        <f t="shared" si="16"/>
        <v>109.13226074106419</v>
      </c>
      <c r="E74" s="23">
        <f t="shared" si="17"/>
        <v>102.15376893478911</v>
      </c>
      <c r="F74" s="23">
        <f t="shared" si="18"/>
        <v>105.64301483792664</v>
      </c>
      <c r="G74" s="25">
        <f t="shared" si="13"/>
        <v>105.3961240425381</v>
      </c>
      <c r="H74" s="37"/>
    </row>
    <row r="75" spans="1:8" x14ac:dyDescent="0.3">
      <c r="A75" s="3" t="s">
        <v>25</v>
      </c>
      <c r="B75" s="23">
        <f t="shared" si="14"/>
        <v>91.055125144971242</v>
      </c>
      <c r="C75" s="23">
        <f t="shared" si="15"/>
        <v>98.190039684220181</v>
      </c>
      <c r="D75" s="14">
        <f t="shared" si="16"/>
        <v>82.694109082084566</v>
      </c>
      <c r="E75" s="23">
        <f t="shared" si="17"/>
        <v>90.551108599872009</v>
      </c>
      <c r="F75" s="23">
        <f t="shared" si="18"/>
        <v>90.803116872421626</v>
      </c>
      <c r="G75" s="25">
        <f t="shared" si="13"/>
        <v>90.590907349787457</v>
      </c>
      <c r="H75" s="37"/>
    </row>
    <row r="76" spans="1:8" x14ac:dyDescent="0.3">
      <c r="A76" s="3" t="s">
        <v>26</v>
      </c>
      <c r="B76" s="23">
        <f t="shared" si="14"/>
        <v>83.777011935027673</v>
      </c>
      <c r="C76" s="23">
        <f t="shared" si="15"/>
        <v>91.610517614636265</v>
      </c>
      <c r="D76" s="14">
        <f t="shared" si="16"/>
        <v>83.515349594212324</v>
      </c>
      <c r="E76" s="23">
        <f t="shared" si="17"/>
        <v>76.258336941160309</v>
      </c>
      <c r="F76" s="23">
        <f t="shared" si="18"/>
        <v>83.646180764619999</v>
      </c>
      <c r="G76" s="25">
        <f t="shared" si="13"/>
        <v>83.450697209631784</v>
      </c>
      <c r="H76" s="37"/>
    </row>
    <row r="77" spans="1:8" x14ac:dyDescent="0.3">
      <c r="A77" s="9" t="s">
        <v>38</v>
      </c>
      <c r="B77" s="10"/>
      <c r="C77" s="10"/>
      <c r="D77" s="10"/>
      <c r="E77" s="10"/>
      <c r="F77" s="38">
        <f>SUM(F65:F76)</f>
        <v>1202.8110042675448</v>
      </c>
      <c r="G77" s="39">
        <f>SUM(G65:G76)</f>
        <v>1199.9999999999998</v>
      </c>
    </row>
    <row r="78" spans="1:8" x14ac:dyDescent="0.3">
      <c r="D78" s="37"/>
      <c r="E78" s="37"/>
      <c r="F78" s="85">
        <f>1200/F77</f>
        <v>0.99766297094259082</v>
      </c>
      <c r="G78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zoomScale="90" zoomScaleNormal="90" workbookViewId="0">
      <selection activeCell="M29" sqref="M29"/>
    </sheetView>
  </sheetViews>
  <sheetFormatPr defaultRowHeight="14.4" x14ac:dyDescent="0.3"/>
  <cols>
    <col min="1" max="8" width="12.21875" customWidth="1"/>
    <col min="9" max="9" width="16.33203125" customWidth="1"/>
    <col min="10" max="10" width="10.77734375" customWidth="1"/>
  </cols>
  <sheetData>
    <row r="1" spans="1:14" x14ac:dyDescent="0.3">
      <c r="A1" t="s">
        <v>39</v>
      </c>
      <c r="B1" s="40" t="s">
        <v>40</v>
      </c>
      <c r="C1" s="41" t="s">
        <v>41</v>
      </c>
      <c r="D1" s="41" t="s">
        <v>42</v>
      </c>
      <c r="E1" s="41" t="s">
        <v>43</v>
      </c>
      <c r="F1" s="41" t="s">
        <v>44</v>
      </c>
      <c r="G1" s="40" t="s">
        <v>45</v>
      </c>
      <c r="H1" s="40" t="s">
        <v>45</v>
      </c>
      <c r="I1" s="42" t="s">
        <v>46</v>
      </c>
      <c r="J1" s="43">
        <v>0.26879836918124062</v>
      </c>
      <c r="K1" s="44" t="s">
        <v>47</v>
      </c>
      <c r="N1" t="s">
        <v>82</v>
      </c>
    </row>
    <row r="2" spans="1:14" x14ac:dyDescent="0.3">
      <c r="A2" s="8"/>
      <c r="B2" s="45" t="s">
        <v>48</v>
      </c>
      <c r="C2" s="46" t="s">
        <v>49</v>
      </c>
      <c r="D2" s="46" t="s">
        <v>50</v>
      </c>
      <c r="E2" s="46" t="s">
        <v>51</v>
      </c>
      <c r="F2" s="46" t="s">
        <v>52</v>
      </c>
      <c r="G2" s="45" t="s">
        <v>53</v>
      </c>
      <c r="H2" s="45" t="s">
        <v>54</v>
      </c>
      <c r="I2" s="47" t="s">
        <v>53</v>
      </c>
      <c r="J2" s="48">
        <f>SUMXMY2(B3:B26,I3:I26)/COUNT(B3:B26)</f>
        <v>1271.7179100466258</v>
      </c>
      <c r="K2" s="49" t="s">
        <v>55</v>
      </c>
    </row>
    <row r="3" spans="1:14" x14ac:dyDescent="0.3">
      <c r="A3" s="50" t="s">
        <v>76</v>
      </c>
      <c r="B3" s="37">
        <v>963</v>
      </c>
      <c r="C3" s="51"/>
      <c r="D3" s="52"/>
      <c r="E3" s="52">
        <f>E7</f>
        <v>1.0613789369996289</v>
      </c>
      <c r="F3" s="51">
        <f t="shared" ref="F3:F26" si="0">B3/E3</f>
        <v>907.31026067114863</v>
      </c>
      <c r="G3" s="51">
        <f>F3</f>
        <v>907.31026067114863</v>
      </c>
      <c r="H3" s="51">
        <f>F3-G3</f>
        <v>0</v>
      </c>
      <c r="I3" s="53">
        <f>G3*E3</f>
        <v>963</v>
      </c>
      <c r="J3" s="53"/>
    </row>
    <row r="4" spans="1:14" x14ac:dyDescent="0.3">
      <c r="A4" s="50" t="s">
        <v>57</v>
      </c>
      <c r="B4" s="37">
        <v>922</v>
      </c>
      <c r="C4" s="51"/>
      <c r="D4" s="52"/>
      <c r="E4" s="52">
        <f>E8</f>
        <v>1.0170075806665213</v>
      </c>
      <c r="F4" s="51">
        <f t="shared" si="0"/>
        <v>906.58124632241606</v>
      </c>
      <c r="G4" s="51">
        <f>F3</f>
        <v>907.31026067114863</v>
      </c>
      <c r="H4" s="51">
        <f t="shared" ref="H4:H19" si="1">F4-G4</f>
        <v>-0.72901434873256221</v>
      </c>
      <c r="I4" s="51">
        <f t="shared" ref="I4:I19" si="2">G4*E4</f>
        <v>922.74141311907567</v>
      </c>
      <c r="J4" s="51"/>
    </row>
    <row r="5" spans="1:14" x14ac:dyDescent="0.3">
      <c r="A5" s="50" t="s">
        <v>58</v>
      </c>
      <c r="B5" s="37">
        <v>908</v>
      </c>
      <c r="C5" s="51">
        <f t="shared" ref="C5:C19" si="3">(AVERAGE(B3:B6)+AVERAGE(B4:B7))/2</f>
        <v>912.25</v>
      </c>
      <c r="D5" s="52">
        <f t="shared" ref="D5:D24" si="4">B5/C5</f>
        <v>0.99534118936694982</v>
      </c>
      <c r="E5" s="54">
        <f>AVERAGE(D5,D9,D13,D17,D21)</f>
        <v>1.0073591553025814</v>
      </c>
      <c r="F5" s="51">
        <f t="shared" si="0"/>
        <v>901.36670245207949</v>
      </c>
      <c r="G5" s="51">
        <f t="shared" ref="G5:G34" si="5">(2*F4)-F3-(2*(1-$J$1)*H4)+((1-$J$1)^2)*H3</f>
        <v>906.91834493505053</v>
      </c>
      <c r="H5" s="51">
        <f t="shared" si="1"/>
        <v>-5.5516424829710331</v>
      </c>
      <c r="I5" s="51">
        <f t="shared" si="2"/>
        <v>913.59249788218756</v>
      </c>
      <c r="J5" s="51"/>
    </row>
    <row r="6" spans="1:14" x14ac:dyDescent="0.3">
      <c r="A6" s="50" t="s">
        <v>59</v>
      </c>
      <c r="B6" s="37">
        <v>822</v>
      </c>
      <c r="C6" s="51">
        <f t="shared" si="3"/>
        <v>926.5</v>
      </c>
      <c r="D6" s="52">
        <f t="shared" si="4"/>
        <v>0.887209929843497</v>
      </c>
      <c r="E6" s="54">
        <f>AVERAGE(D6,D10,D14,D18,D22)</f>
        <v>0.90714060575851063</v>
      </c>
      <c r="F6" s="51">
        <f t="shared" si="0"/>
        <v>906.14398118875977</v>
      </c>
      <c r="G6" s="51">
        <f t="shared" si="5"/>
        <v>903.88112688829096</v>
      </c>
      <c r="H6" s="51">
        <f t="shared" si="1"/>
        <v>2.2628543004688026</v>
      </c>
      <c r="I6" s="51">
        <f t="shared" si="2"/>
        <v>819.94727297912948</v>
      </c>
      <c r="J6" s="51"/>
    </row>
    <row r="7" spans="1:14" x14ac:dyDescent="0.3">
      <c r="A7" s="50" t="s">
        <v>77</v>
      </c>
      <c r="B7" s="37">
        <v>1031</v>
      </c>
      <c r="C7" s="51">
        <f t="shared" si="3"/>
        <v>939.375</v>
      </c>
      <c r="D7" s="52">
        <f t="shared" si="4"/>
        <v>1.0975382568196939</v>
      </c>
      <c r="E7" s="54">
        <f>AVERAGE(D7,D11,D15,D19,D23)</f>
        <v>1.0613789369996289</v>
      </c>
      <c r="F7" s="55">
        <f t="shared" si="0"/>
        <v>971.37785955550805</v>
      </c>
      <c r="G7" s="51">
        <f t="shared" si="5"/>
        <v>904.64383642447456</v>
      </c>
      <c r="H7" s="55">
        <f t="shared" si="1"/>
        <v>66.734023131033496</v>
      </c>
      <c r="I7" s="55">
        <f t="shared" si="2"/>
        <v>960.169913467475</v>
      </c>
      <c r="J7" s="55"/>
    </row>
    <row r="8" spans="1:14" x14ac:dyDescent="0.3">
      <c r="A8" s="50" t="s">
        <v>57</v>
      </c>
      <c r="B8" s="37">
        <v>968</v>
      </c>
      <c r="C8" s="51">
        <f t="shared" si="3"/>
        <v>954.125</v>
      </c>
      <c r="D8" s="52">
        <f t="shared" si="4"/>
        <v>1.0145421197432203</v>
      </c>
      <c r="E8" s="54">
        <f>AVERAGE(D8,D12,D16,D20,D24)</f>
        <v>1.0170075806665213</v>
      </c>
      <c r="F8" s="55">
        <f t="shared" si="0"/>
        <v>951.81198095455397</v>
      </c>
      <c r="G8" s="51">
        <f t="shared" si="5"/>
        <v>940.22953306591228</v>
      </c>
      <c r="H8" s="55">
        <f t="shared" si="1"/>
        <v>11.582447888641695</v>
      </c>
      <c r="I8" s="55">
        <f t="shared" si="2"/>
        <v>956.22056269457642</v>
      </c>
      <c r="J8" s="55"/>
    </row>
    <row r="9" spans="1:14" x14ac:dyDescent="0.3">
      <c r="A9" s="50" t="s">
        <v>58</v>
      </c>
      <c r="B9" s="37">
        <v>965</v>
      </c>
      <c r="C9" s="51">
        <f t="shared" si="3"/>
        <v>968.375</v>
      </c>
      <c r="D9" s="52">
        <f t="shared" si="4"/>
        <v>0.99651477991480575</v>
      </c>
      <c r="E9" s="52">
        <f t="shared" ref="E9:E34" si="6">E5</f>
        <v>1.0073591553025814</v>
      </c>
      <c r="F9" s="55">
        <f t="shared" si="0"/>
        <v>957.95029500689066</v>
      </c>
      <c r="G9" s="51">
        <f t="shared" si="5"/>
        <v>950.98762697032373</v>
      </c>
      <c r="H9" s="55">
        <f t="shared" si="1"/>
        <v>6.9626680365669245</v>
      </c>
      <c r="I9" s="55">
        <f t="shared" si="2"/>
        <v>957.98609260803164</v>
      </c>
      <c r="J9" s="55"/>
    </row>
    <row r="10" spans="1:14" x14ac:dyDescent="0.3">
      <c r="A10" s="50" t="s">
        <v>59</v>
      </c>
      <c r="B10" s="37">
        <v>883</v>
      </c>
      <c r="C10" s="51">
        <f t="shared" si="3"/>
        <v>983.875</v>
      </c>
      <c r="D10" s="52">
        <f t="shared" si="4"/>
        <v>0.8974717316732308</v>
      </c>
      <c r="E10" s="52">
        <f t="shared" si="6"/>
        <v>0.90714060575851063</v>
      </c>
      <c r="F10" s="55">
        <f t="shared" si="0"/>
        <v>973.38824256651446</v>
      </c>
      <c r="G10" s="51">
        <f t="shared" si="5"/>
        <v>960.09900384325465</v>
      </c>
      <c r="H10" s="55">
        <f t="shared" si="1"/>
        <v>13.289238723259814</v>
      </c>
      <c r="I10" s="55">
        <f t="shared" si="2"/>
        <v>870.94479193451264</v>
      </c>
      <c r="J10" s="55"/>
    </row>
    <row r="11" spans="1:14" x14ac:dyDescent="0.3">
      <c r="A11" s="50" t="s">
        <v>78</v>
      </c>
      <c r="B11" s="37">
        <v>1084</v>
      </c>
      <c r="C11" s="51">
        <f t="shared" si="3"/>
        <v>1001</v>
      </c>
      <c r="D11" s="56">
        <f t="shared" si="4"/>
        <v>1.0829170829170829</v>
      </c>
      <c r="E11" s="56">
        <f t="shared" si="6"/>
        <v>1.0613789369996289</v>
      </c>
      <c r="F11" s="55">
        <f t="shared" si="0"/>
        <v>1021.3128998624353</v>
      </c>
      <c r="G11" s="51">
        <f t="shared" si="5"/>
        <v>973.11459509524275</v>
      </c>
      <c r="H11" s="55">
        <f t="shared" si="1"/>
        <v>48.198304767192553</v>
      </c>
      <c r="I11" s="55">
        <f t="shared" si="2"/>
        <v>1032.843334521013</v>
      </c>
      <c r="J11" s="55"/>
    </row>
    <row r="12" spans="1:14" x14ac:dyDescent="0.3">
      <c r="A12" s="50" t="s">
        <v>57</v>
      </c>
      <c r="B12" s="37">
        <v>1039</v>
      </c>
      <c r="C12" s="51">
        <f t="shared" si="3"/>
        <v>1014.75</v>
      </c>
      <c r="D12" s="56">
        <f t="shared" si="4"/>
        <v>1.0238975117023899</v>
      </c>
      <c r="E12" s="56">
        <f t="shared" si="6"/>
        <v>1.0170075806665213</v>
      </c>
      <c r="F12" s="55">
        <f t="shared" si="0"/>
        <v>1021.624636582419</v>
      </c>
      <c r="G12" s="51">
        <f t="shared" si="5"/>
        <v>1005.8573679534517</v>
      </c>
      <c r="H12" s="55">
        <f t="shared" si="1"/>
        <v>15.767268628967372</v>
      </c>
      <c r="I12" s="55">
        <f t="shared" si="2"/>
        <v>1022.9645682779349</v>
      </c>
      <c r="J12" s="55"/>
    </row>
    <row r="13" spans="1:14" x14ac:dyDescent="0.3">
      <c r="A13" s="50" t="s">
        <v>58</v>
      </c>
      <c r="B13" s="37">
        <v>1031</v>
      </c>
      <c r="C13" s="51">
        <f t="shared" si="3"/>
        <v>1024.875</v>
      </c>
      <c r="D13" s="56">
        <f t="shared" si="4"/>
        <v>1.0059763385778753</v>
      </c>
      <c r="E13" s="56">
        <f t="shared" si="6"/>
        <v>1.0073591553025814</v>
      </c>
      <c r="F13" s="55">
        <f t="shared" si="0"/>
        <v>1023.4681390177246</v>
      </c>
      <c r="G13" s="51">
        <f t="shared" si="5"/>
        <v>1024.64777262695</v>
      </c>
      <c r="H13" s="55">
        <f t="shared" si="1"/>
        <v>-1.1796336092253341</v>
      </c>
      <c r="I13" s="55">
        <f t="shared" si="2"/>
        <v>1032.1883147161557</v>
      </c>
      <c r="J13" s="55"/>
    </row>
    <row r="14" spans="1:14" x14ac:dyDescent="0.3">
      <c r="A14" s="50" t="s">
        <v>59</v>
      </c>
      <c r="B14" s="37">
        <v>927</v>
      </c>
      <c r="C14" s="51">
        <f t="shared" si="3"/>
        <v>1034.875</v>
      </c>
      <c r="D14" s="56">
        <f t="shared" si="4"/>
        <v>0.89576035753110284</v>
      </c>
      <c r="E14" s="56">
        <f t="shared" si="6"/>
        <v>0.90714060575851063</v>
      </c>
      <c r="F14" s="55">
        <f t="shared" si="0"/>
        <v>1021.8922999537473</v>
      </c>
      <c r="G14" s="51">
        <f t="shared" si="5"/>
        <v>1035.4668035061286</v>
      </c>
      <c r="H14" s="55">
        <f t="shared" si="1"/>
        <v>-13.574503552381316</v>
      </c>
      <c r="I14" s="55">
        <f t="shared" si="2"/>
        <v>939.31398337537814</v>
      </c>
      <c r="J14" s="55"/>
    </row>
    <row r="15" spans="1:14" x14ac:dyDescent="0.3">
      <c r="A15" s="50" t="s">
        <v>79</v>
      </c>
      <c r="B15" s="37">
        <v>1121</v>
      </c>
      <c r="C15" s="51">
        <f t="shared" si="3"/>
        <v>1047.75</v>
      </c>
      <c r="D15" s="56">
        <f t="shared" si="4"/>
        <v>1.069911715581007</v>
      </c>
      <c r="E15" s="56">
        <f t="shared" si="6"/>
        <v>1.0613789369996289</v>
      </c>
      <c r="F15" s="55">
        <f t="shared" si="0"/>
        <v>1056.1732110201015</v>
      </c>
      <c r="G15" s="51">
        <f t="shared" si="5"/>
        <v>1039.5371611794483</v>
      </c>
      <c r="H15" s="55">
        <f t="shared" si="1"/>
        <v>16.636049840653186</v>
      </c>
      <c r="I15" s="55">
        <f t="shared" si="2"/>
        <v>1103.3428471042548</v>
      </c>
      <c r="J15" s="55"/>
    </row>
    <row r="16" spans="1:14" x14ac:dyDescent="0.3">
      <c r="A16" s="50" t="s">
        <v>57</v>
      </c>
      <c r="B16" s="37">
        <v>1082</v>
      </c>
      <c r="C16" s="51">
        <f t="shared" si="3"/>
        <v>1063.5</v>
      </c>
      <c r="D16" s="56">
        <f t="shared" si="4"/>
        <v>1.0173953925716972</v>
      </c>
      <c r="E16" s="56">
        <f t="shared" si="6"/>
        <v>1.0170075806665213</v>
      </c>
      <c r="F16" s="55">
        <f t="shared" si="0"/>
        <v>1063.9055406950697</v>
      </c>
      <c r="G16" s="51">
        <f t="shared" si="5"/>
        <v>1058.8678211441506</v>
      </c>
      <c r="H16" s="55">
        <f t="shared" si="1"/>
        <v>5.0377195509190642</v>
      </c>
      <c r="I16" s="55">
        <f t="shared" si="2"/>
        <v>1076.8766010274435</v>
      </c>
      <c r="J16" s="55"/>
    </row>
    <row r="17" spans="1:10" x14ac:dyDescent="0.3">
      <c r="A17" s="50" t="s">
        <v>58</v>
      </c>
      <c r="B17" s="37">
        <v>1091</v>
      </c>
      <c r="C17" s="51">
        <f t="shared" si="3"/>
        <v>1077.875</v>
      </c>
      <c r="D17" s="56">
        <f t="shared" si="4"/>
        <v>1.012176736634582</v>
      </c>
      <c r="E17" s="56">
        <f t="shared" si="6"/>
        <v>1.0073591553025814</v>
      </c>
      <c r="F17" s="55">
        <f t="shared" si="0"/>
        <v>1083.0298153912101</v>
      </c>
      <c r="G17" s="51">
        <f t="shared" si="5"/>
        <v>1073.1652538183907</v>
      </c>
      <c r="H17" s="55">
        <f t="shared" si="1"/>
        <v>9.8645615728194116</v>
      </c>
      <c r="I17" s="55">
        <f t="shared" si="2"/>
        <v>1081.0628435865744</v>
      </c>
      <c r="J17" s="55"/>
    </row>
    <row r="18" spans="1:10" x14ac:dyDescent="0.3">
      <c r="A18" s="50" t="s">
        <v>59</v>
      </c>
      <c r="B18" s="37">
        <v>993</v>
      </c>
      <c r="C18" s="51">
        <f t="shared" si="3"/>
        <v>1087.75</v>
      </c>
      <c r="D18" s="56">
        <f t="shared" si="4"/>
        <v>0.91289358768099282</v>
      </c>
      <c r="E18" s="56">
        <f t="shared" si="6"/>
        <v>0.90714060575851063</v>
      </c>
      <c r="F18" s="55">
        <f t="shared" si="0"/>
        <v>1094.6483860345966</v>
      </c>
      <c r="G18" s="51">
        <f t="shared" si="5"/>
        <v>1090.4215691708073</v>
      </c>
      <c r="H18" s="55">
        <f t="shared" si="1"/>
        <v>4.2268168637892813</v>
      </c>
      <c r="I18" s="55">
        <f t="shared" si="2"/>
        <v>989.16568278975183</v>
      </c>
      <c r="J18" s="55"/>
    </row>
    <row r="19" spans="1:10" x14ac:dyDescent="0.3">
      <c r="A19" s="50" t="s">
        <v>80</v>
      </c>
      <c r="B19" s="37">
        <v>1170</v>
      </c>
      <c r="C19" s="51">
        <f t="shared" si="3"/>
        <v>1095.875</v>
      </c>
      <c r="D19" s="56">
        <f t="shared" si="4"/>
        <v>1.0676400136876925</v>
      </c>
      <c r="E19" s="56">
        <f t="shared" si="6"/>
        <v>1.0613789369996289</v>
      </c>
      <c r="F19" s="55">
        <f t="shared" si="0"/>
        <v>1102.3395690397133</v>
      </c>
      <c r="G19" s="51">
        <f t="shared" si="5"/>
        <v>1105.359791215144</v>
      </c>
      <c r="H19" s="55">
        <f t="shared" si="1"/>
        <v>-3.0202221754307175</v>
      </c>
      <c r="I19" s="55">
        <f t="shared" si="2"/>
        <v>1173.2056002020613</v>
      </c>
      <c r="J19" s="55"/>
    </row>
    <row r="20" spans="1:10" x14ac:dyDescent="0.3">
      <c r="A20" s="50" t="s">
        <v>57</v>
      </c>
      <c r="B20" s="37">
        <v>1112</v>
      </c>
      <c r="C20" s="51">
        <f>(AVERAGE(B18:B21)+AVERAGE(B19:B22))/2</f>
        <v>1104.125</v>
      </c>
      <c r="D20" s="56">
        <f t="shared" si="4"/>
        <v>1.0071323446167779</v>
      </c>
      <c r="E20" s="56">
        <f t="shared" si="6"/>
        <v>1.0170075806665213</v>
      </c>
      <c r="F20" s="55">
        <f t="shared" si="0"/>
        <v>1093.4038458899422</v>
      </c>
      <c r="G20" s="51">
        <f t="shared" si="5"/>
        <v>1116.707427062111</v>
      </c>
      <c r="H20" s="55">
        <f>F20-G20</f>
        <v>-23.303581172168833</v>
      </c>
      <c r="I20" s="55">
        <f>G20*E20</f>
        <v>1135.6999187087733</v>
      </c>
      <c r="J20" s="55"/>
    </row>
    <row r="21" spans="1:10" x14ac:dyDescent="0.3">
      <c r="A21" s="50" t="s">
        <v>58</v>
      </c>
      <c r="B21" s="37">
        <v>1126</v>
      </c>
      <c r="C21" s="51">
        <f>(AVERAGE(B19:B22)+AVERAGE(B20:B23))/2</f>
        <v>1096.625</v>
      </c>
      <c r="D21" s="56">
        <f t="shared" si="4"/>
        <v>1.0267867320186936</v>
      </c>
      <c r="E21" s="56">
        <f t="shared" si="6"/>
        <v>1.0073591553025814</v>
      </c>
      <c r="F21" s="55">
        <f t="shared" si="0"/>
        <v>1117.7741266090766</v>
      </c>
      <c r="G21" s="51">
        <f t="shared" si="5"/>
        <v>1116.9325764755631</v>
      </c>
      <c r="H21" s="55">
        <f>F21-G21</f>
        <v>0.84155013351346497</v>
      </c>
      <c r="I21" s="55">
        <f>G21*E21</f>
        <v>1125.1522567683592</v>
      </c>
      <c r="J21" s="55"/>
    </row>
    <row r="22" spans="1:10" x14ac:dyDescent="0.3">
      <c r="A22" s="50" t="s">
        <v>59</v>
      </c>
      <c r="B22" s="37">
        <v>1024</v>
      </c>
      <c r="C22" s="51">
        <f>(AVERAGE(B20:B23)+AVERAGE(B21:B24))/2</f>
        <v>1086.625</v>
      </c>
      <c r="D22" s="56">
        <f t="shared" si="4"/>
        <v>0.94236742206372948</v>
      </c>
      <c r="E22" s="56">
        <f t="shared" si="6"/>
        <v>0.90714060575851063</v>
      </c>
      <c r="F22" s="55">
        <f t="shared" si="0"/>
        <v>1128.8216991937834</v>
      </c>
      <c r="G22" s="51">
        <f t="shared" si="5"/>
        <v>1128.4543262531192</v>
      </c>
      <c r="H22" s="55">
        <f>F22-G22</f>
        <v>0.36737294066415416</v>
      </c>
      <c r="I22" s="55">
        <f>G22*E22</f>
        <v>1023.6667410880666</v>
      </c>
      <c r="J22" s="55"/>
    </row>
    <row r="23" spans="1:10" x14ac:dyDescent="0.3">
      <c r="A23" s="50" t="s">
        <v>81</v>
      </c>
      <c r="B23" s="37">
        <v>1079</v>
      </c>
      <c r="C23" s="51">
        <f>(AVERAGE(B21:B24)+AVERAGE(B22:B25))/2</f>
        <v>1091.125</v>
      </c>
      <c r="D23" s="56">
        <f t="shared" si="4"/>
        <v>0.98888761599266817</v>
      </c>
      <c r="E23" s="56">
        <f t="shared" si="6"/>
        <v>1.0613789369996289</v>
      </c>
      <c r="F23" s="55">
        <f t="shared" si="0"/>
        <v>1016.6020470032912</v>
      </c>
      <c r="G23" s="51">
        <f t="shared" si="5"/>
        <v>1139.7819640726641</v>
      </c>
      <c r="H23" s="55">
        <f t="shared" ref="H23:H34" si="7">F23-G23</f>
        <v>-123.17991706937289</v>
      </c>
      <c r="I23" s="55">
        <f t="shared" ref="I23:I34" si="8">G23*E23</f>
        <v>1209.7405694387935</v>
      </c>
      <c r="J23" s="55"/>
    </row>
    <row r="24" spans="1:10" x14ac:dyDescent="0.3">
      <c r="A24" s="50" t="s">
        <v>57</v>
      </c>
      <c r="B24" s="37">
        <v>1123</v>
      </c>
      <c r="C24" s="51">
        <f>(AVERAGE(B22:B25)+AVERAGE(B23:B26))/2</f>
        <v>1098.75</v>
      </c>
      <c r="D24" s="56">
        <f t="shared" si="4"/>
        <v>1.022070534698521</v>
      </c>
      <c r="E24" s="56">
        <f t="shared" si="6"/>
        <v>1.0170075806665213</v>
      </c>
      <c r="F24" s="55">
        <f t="shared" si="0"/>
        <v>1104.219891128062</v>
      </c>
      <c r="G24" s="51">
        <f t="shared" si="5"/>
        <v>1084.7175253859302</v>
      </c>
      <c r="H24" s="55">
        <f t="shared" si="7"/>
        <v>19.502365742131815</v>
      </c>
      <c r="I24" s="55">
        <f t="shared" si="8"/>
        <v>1103.1659461993208</v>
      </c>
      <c r="J24" s="55"/>
    </row>
    <row r="25" spans="1:10" x14ac:dyDescent="0.3">
      <c r="A25" s="50" t="s">
        <v>58</v>
      </c>
      <c r="B25" s="37">
        <v>1151</v>
      </c>
      <c r="C25" s="55"/>
      <c r="D25" s="56"/>
      <c r="E25" s="56">
        <f t="shared" si="6"/>
        <v>1.0073591553025814</v>
      </c>
      <c r="F25" s="55">
        <f t="shared" si="0"/>
        <v>1142.5914917646955</v>
      </c>
      <c r="G25" s="51">
        <f t="shared" si="5"/>
        <v>1097.4585518085723</v>
      </c>
      <c r="H25" s="55">
        <f t="shared" si="7"/>
        <v>45.132939956123209</v>
      </c>
      <c r="I25" s="55">
        <f t="shared" si="8"/>
        <v>1105.5349197294777</v>
      </c>
      <c r="J25" s="55"/>
    </row>
    <row r="26" spans="1:10" x14ac:dyDescent="0.3">
      <c r="A26" s="57" t="s">
        <v>59</v>
      </c>
      <c r="B26" s="80">
        <v>1060</v>
      </c>
      <c r="C26" s="58"/>
      <c r="D26" s="59"/>
      <c r="E26" s="59">
        <f t="shared" si="6"/>
        <v>0.90714060575851063</v>
      </c>
      <c r="F26" s="58">
        <f t="shared" si="0"/>
        <v>1168.5068370560648</v>
      </c>
      <c r="G26" s="60">
        <f t="shared" si="5"/>
        <v>1125.3875872457995</v>
      </c>
      <c r="H26" s="58">
        <f t="shared" si="7"/>
        <v>43.119249810265273</v>
      </c>
      <c r="I26" s="58">
        <f t="shared" si="8"/>
        <v>1020.8847776072633</v>
      </c>
      <c r="J26" s="61"/>
    </row>
    <row r="27" spans="1:10" x14ac:dyDescent="0.3">
      <c r="A27" s="62" t="s">
        <v>83</v>
      </c>
      <c r="B27" t="s">
        <v>60</v>
      </c>
      <c r="E27" s="56">
        <f>E23</f>
        <v>1.0613789369996289</v>
      </c>
      <c r="F27" s="51">
        <f t="shared" ref="F27:F32" si="9">G23</f>
        <v>1139.7819640726641</v>
      </c>
      <c r="G27" s="51">
        <f t="shared" si="5"/>
        <v>1155.4950400284847</v>
      </c>
      <c r="H27" s="55">
        <f t="shared" si="7"/>
        <v>-15.713075955820614</v>
      </c>
      <c r="I27" s="55">
        <f t="shared" si="8"/>
        <v>1226.4180972937768</v>
      </c>
      <c r="J27" s="55"/>
    </row>
    <row r="28" spans="1:10" x14ac:dyDescent="0.3">
      <c r="A28" s="62" t="s">
        <v>57</v>
      </c>
      <c r="E28" s="56">
        <f>E24</f>
        <v>1.0170075806665213</v>
      </c>
      <c r="F28" s="51">
        <f t="shared" si="9"/>
        <v>1084.7175253859302</v>
      </c>
      <c r="G28" s="51">
        <f t="shared" si="5"/>
        <v>1157.0899026943082</v>
      </c>
      <c r="H28" s="55">
        <f t="shared" si="7"/>
        <v>-72.372377308377963</v>
      </c>
      <c r="I28" s="55">
        <f t="shared" si="8"/>
        <v>1176.769202552799</v>
      </c>
      <c r="J28" s="55"/>
    </row>
    <row r="29" spans="1:10" x14ac:dyDescent="0.3">
      <c r="A29" s="62" t="s">
        <v>58</v>
      </c>
      <c r="E29" s="56">
        <f>E25</f>
        <v>1.0073591553025814</v>
      </c>
      <c r="F29" s="51">
        <f t="shared" si="9"/>
        <v>1097.4585518085723</v>
      </c>
      <c r="G29" s="51">
        <f t="shared" si="5"/>
        <v>1127.089599740365</v>
      </c>
      <c r="H29" s="55">
        <f t="shared" si="7"/>
        <v>-29.631047931792637</v>
      </c>
      <c r="I29" s="55">
        <f t="shared" si="8"/>
        <v>1135.3840271447787</v>
      </c>
      <c r="J29" s="55"/>
    </row>
    <row r="30" spans="1:10" x14ac:dyDescent="0.3">
      <c r="A30" s="62" t="s">
        <v>59</v>
      </c>
      <c r="E30" s="56">
        <f>E26</f>
        <v>0.90714060575851063</v>
      </c>
      <c r="F30" s="51">
        <f t="shared" si="9"/>
        <v>1125.3875872457995</v>
      </c>
      <c r="G30" s="51">
        <f t="shared" si="5"/>
        <v>1114.8378062817515</v>
      </c>
      <c r="H30" s="55">
        <f t="shared" si="7"/>
        <v>10.549780964048068</v>
      </c>
      <c r="I30" s="55">
        <f t="shared" si="8"/>
        <v>1011.3146429129172</v>
      </c>
      <c r="J30" s="55"/>
    </row>
    <row r="31" spans="1:10" x14ac:dyDescent="0.3">
      <c r="A31" s="62" t="s">
        <v>84</v>
      </c>
      <c r="E31" s="56">
        <f t="shared" si="6"/>
        <v>1.0613789369996289</v>
      </c>
      <c r="F31" s="51">
        <f t="shared" si="9"/>
        <v>1155.4950400284847</v>
      </c>
      <c r="G31" s="51">
        <f t="shared" si="5"/>
        <v>1122.0461762166613</v>
      </c>
      <c r="H31" s="55">
        <f t="shared" si="7"/>
        <v>33.448863811823458</v>
      </c>
      <c r="I31" s="55">
        <f t="shared" si="8"/>
        <v>1190.9161777773381</v>
      </c>
      <c r="J31" s="55"/>
    </row>
    <row r="32" spans="1:10" x14ac:dyDescent="0.3">
      <c r="A32" s="62" t="s">
        <v>57</v>
      </c>
      <c r="E32" s="56">
        <f t="shared" si="6"/>
        <v>1.0170075806665213</v>
      </c>
      <c r="F32" s="51">
        <f t="shared" si="9"/>
        <v>1157.0899026943082</v>
      </c>
      <c r="G32" s="51">
        <f t="shared" si="5"/>
        <v>1142.3272671186642</v>
      </c>
      <c r="H32" s="55">
        <f t="shared" si="7"/>
        <v>14.762635575644026</v>
      </c>
      <c r="I32" s="55">
        <f t="shared" si="8"/>
        <v>1161.7554902617517</v>
      </c>
      <c r="J32" s="55"/>
    </row>
    <row r="33" spans="1:10" x14ac:dyDescent="0.3">
      <c r="A33" s="62" t="s">
        <v>58</v>
      </c>
      <c r="E33" s="56">
        <f t="shared" si="6"/>
        <v>1.0073591553025814</v>
      </c>
      <c r="F33" s="51">
        <f>G33</f>
        <v>1154.9794688176239</v>
      </c>
      <c r="G33" s="51">
        <f t="shared" si="5"/>
        <v>1154.9794688176239</v>
      </c>
      <c r="H33" s="55">
        <f t="shared" si="7"/>
        <v>0</v>
      </c>
      <c r="I33" s="55">
        <f t="shared" si="8"/>
        <v>1163.4791420999456</v>
      </c>
      <c r="J33" s="55"/>
    </row>
    <row r="34" spans="1:10" x14ac:dyDescent="0.3">
      <c r="A34" s="62" t="s">
        <v>59</v>
      </c>
      <c r="E34" s="56">
        <f t="shared" si="6"/>
        <v>0.90714060575851063</v>
      </c>
      <c r="F34" s="51">
        <f>G34</f>
        <v>1160.761964042511</v>
      </c>
      <c r="G34" s="51">
        <f t="shared" si="5"/>
        <v>1160.761964042511</v>
      </c>
      <c r="H34" s="55">
        <f t="shared" si="7"/>
        <v>0</v>
      </c>
      <c r="I34" s="55">
        <f t="shared" si="8"/>
        <v>1052.9743112029619</v>
      </c>
      <c r="J34" s="55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workbookViewId="0">
      <selection activeCell="L33" sqref="L33"/>
    </sheetView>
  </sheetViews>
  <sheetFormatPr defaultRowHeight="14.4" x14ac:dyDescent="0.3"/>
  <cols>
    <col min="3" max="3" width="11" customWidth="1"/>
    <col min="6" max="6" width="12.44140625" customWidth="1"/>
    <col min="7" max="7" width="11.44140625" customWidth="1"/>
    <col min="9" max="9" width="11.33203125" customWidth="1"/>
    <col min="10" max="10" width="9.6640625" customWidth="1"/>
  </cols>
  <sheetData>
    <row r="1" spans="1:11" x14ac:dyDescent="0.3">
      <c r="A1" t="s">
        <v>39</v>
      </c>
      <c r="B1" s="40" t="s">
        <v>40</v>
      </c>
      <c r="C1" s="41" t="s">
        <v>41</v>
      </c>
      <c r="D1" s="41" t="s">
        <v>42</v>
      </c>
      <c r="E1" s="41" t="s">
        <v>43</v>
      </c>
      <c r="F1" s="41" t="s">
        <v>44</v>
      </c>
      <c r="G1" s="40" t="s">
        <v>45</v>
      </c>
      <c r="H1" s="40" t="s">
        <v>45</v>
      </c>
      <c r="I1" s="42" t="s">
        <v>46</v>
      </c>
      <c r="J1" s="43">
        <v>0.26879836918124062</v>
      </c>
      <c r="K1" s="44" t="s">
        <v>47</v>
      </c>
    </row>
    <row r="2" spans="1:11" x14ac:dyDescent="0.3">
      <c r="A2" s="8"/>
      <c r="B2" s="45" t="s">
        <v>48</v>
      </c>
      <c r="C2" s="46" t="s">
        <v>49</v>
      </c>
      <c r="D2" s="46" t="s">
        <v>50</v>
      </c>
      <c r="E2" s="46" t="s">
        <v>51</v>
      </c>
      <c r="F2" s="46" t="s">
        <v>52</v>
      </c>
      <c r="G2" s="45" t="s">
        <v>53</v>
      </c>
      <c r="H2" s="45" t="s">
        <v>54</v>
      </c>
      <c r="I2" s="47" t="s">
        <v>53</v>
      </c>
      <c r="J2" s="48">
        <f>SUMXMY2(B3:B26,I3:I26)/COUNT(B3:B26)</f>
        <v>1271.7179100466258</v>
      </c>
      <c r="K2" s="49" t="s">
        <v>55</v>
      </c>
    </row>
    <row r="3" spans="1:11" x14ac:dyDescent="0.3">
      <c r="A3" s="50" t="s">
        <v>76</v>
      </c>
      <c r="B3" s="37">
        <v>963</v>
      </c>
      <c r="C3" s="51"/>
      <c r="D3" s="52"/>
      <c r="E3" s="52">
        <f>E7</f>
        <v>1.0613789369996289</v>
      </c>
      <c r="F3" s="51">
        <f t="shared" ref="F3:F26" si="0">B3/E3</f>
        <v>907.31026067114863</v>
      </c>
      <c r="G3" s="51">
        <f>F3</f>
        <v>907.31026067114863</v>
      </c>
      <c r="H3" s="51">
        <f>F3-G3</f>
        <v>0</v>
      </c>
      <c r="I3" s="53">
        <f>G3*E3</f>
        <v>963</v>
      </c>
      <c r="J3" s="53"/>
    </row>
    <row r="4" spans="1:11" x14ac:dyDescent="0.3">
      <c r="A4" s="50" t="s">
        <v>57</v>
      </c>
      <c r="B4" s="37">
        <v>922</v>
      </c>
      <c r="C4" s="51"/>
      <c r="D4" s="52"/>
      <c r="E4" s="52">
        <f>E8</f>
        <v>1.0170075806665213</v>
      </c>
      <c r="F4" s="51">
        <f t="shared" si="0"/>
        <v>906.58124632241606</v>
      </c>
      <c r="G4" s="51">
        <f>F3</f>
        <v>907.31026067114863</v>
      </c>
      <c r="H4" s="51">
        <f t="shared" ref="H4:H19" si="1">F4-G4</f>
        <v>-0.72901434873256221</v>
      </c>
      <c r="I4" s="51">
        <f t="shared" ref="I4:I19" si="2">G4*E4</f>
        <v>922.74141311907567</v>
      </c>
      <c r="J4" s="51"/>
    </row>
    <row r="5" spans="1:11" x14ac:dyDescent="0.3">
      <c r="A5" s="50" t="s">
        <v>58</v>
      </c>
      <c r="B5" s="37">
        <v>908</v>
      </c>
      <c r="C5" s="51">
        <f t="shared" ref="C5:C19" si="3">(AVERAGE(B3:B6)+AVERAGE(B4:B7))/2</f>
        <v>912.25</v>
      </c>
      <c r="D5" s="52">
        <f t="shared" ref="D5:D24" si="4">B5/C5</f>
        <v>0.99534118936694982</v>
      </c>
      <c r="E5" s="54">
        <f>AVERAGE(D5,D9,D13,D17,D21)</f>
        <v>1.0073591553025814</v>
      </c>
      <c r="F5" s="51">
        <f t="shared" si="0"/>
        <v>901.36670245207949</v>
      </c>
      <c r="G5" s="51">
        <f t="shared" ref="G5:G34" si="5">(2*F4)-F3-(2*(1-$J$1)*H4)+((1-$J$1)^2)*H3</f>
        <v>906.91834493505053</v>
      </c>
      <c r="H5" s="51">
        <f t="shared" si="1"/>
        <v>-5.5516424829710331</v>
      </c>
      <c r="I5" s="51">
        <f t="shared" si="2"/>
        <v>913.59249788218756</v>
      </c>
      <c r="J5" s="51"/>
    </row>
    <row r="6" spans="1:11" x14ac:dyDescent="0.3">
      <c r="A6" s="50" t="s">
        <v>59</v>
      </c>
      <c r="B6" s="37">
        <v>822</v>
      </c>
      <c r="C6" s="51">
        <f t="shared" si="3"/>
        <v>926.5</v>
      </c>
      <c r="D6" s="52">
        <f t="shared" si="4"/>
        <v>0.887209929843497</v>
      </c>
      <c r="E6" s="54">
        <f>AVERAGE(D6,D10,D14,D18,D22)</f>
        <v>0.90714060575851063</v>
      </c>
      <c r="F6" s="51">
        <f t="shared" si="0"/>
        <v>906.14398118875977</v>
      </c>
      <c r="G6" s="51">
        <f t="shared" si="5"/>
        <v>903.88112688829096</v>
      </c>
      <c r="H6" s="51">
        <f t="shared" si="1"/>
        <v>2.2628543004688026</v>
      </c>
      <c r="I6" s="51">
        <f t="shared" si="2"/>
        <v>819.94727297912948</v>
      </c>
      <c r="J6" s="51"/>
    </row>
    <row r="7" spans="1:11" x14ac:dyDescent="0.3">
      <c r="A7" s="50" t="s">
        <v>77</v>
      </c>
      <c r="B7" s="37">
        <v>1031</v>
      </c>
      <c r="C7" s="51">
        <f t="shared" si="3"/>
        <v>939.375</v>
      </c>
      <c r="D7" s="52">
        <f t="shared" si="4"/>
        <v>1.0975382568196939</v>
      </c>
      <c r="E7" s="54">
        <f>AVERAGE(D7,D11,D15,D19,D23)</f>
        <v>1.0613789369996289</v>
      </c>
      <c r="F7" s="55">
        <f t="shared" si="0"/>
        <v>971.37785955550805</v>
      </c>
      <c r="G7" s="51">
        <f t="shared" si="5"/>
        <v>904.64383642447456</v>
      </c>
      <c r="H7" s="55">
        <f t="shared" si="1"/>
        <v>66.734023131033496</v>
      </c>
      <c r="I7" s="55">
        <f t="shared" si="2"/>
        <v>960.169913467475</v>
      </c>
      <c r="J7" s="55"/>
    </row>
    <row r="8" spans="1:11" x14ac:dyDescent="0.3">
      <c r="A8" s="50" t="s">
        <v>57</v>
      </c>
      <c r="B8" s="37">
        <v>968</v>
      </c>
      <c r="C8" s="51">
        <f t="shared" si="3"/>
        <v>954.125</v>
      </c>
      <c r="D8" s="52">
        <f t="shared" si="4"/>
        <v>1.0145421197432203</v>
      </c>
      <c r="E8" s="54">
        <f>AVERAGE(D8,D12,D16,D20,D24)</f>
        <v>1.0170075806665213</v>
      </c>
      <c r="F8" s="55">
        <f t="shared" si="0"/>
        <v>951.81198095455397</v>
      </c>
      <c r="G8" s="51">
        <f t="shared" si="5"/>
        <v>940.22953306591228</v>
      </c>
      <c r="H8" s="55">
        <f t="shared" si="1"/>
        <v>11.582447888641695</v>
      </c>
      <c r="I8" s="55">
        <f t="shared" si="2"/>
        <v>956.22056269457642</v>
      </c>
      <c r="J8" s="55"/>
    </row>
    <row r="9" spans="1:11" x14ac:dyDescent="0.3">
      <c r="A9" s="50" t="s">
        <v>58</v>
      </c>
      <c r="B9" s="37">
        <v>965</v>
      </c>
      <c r="C9" s="51">
        <f t="shared" si="3"/>
        <v>968.375</v>
      </c>
      <c r="D9" s="52">
        <f t="shared" si="4"/>
        <v>0.99651477991480575</v>
      </c>
      <c r="E9" s="52">
        <f t="shared" ref="E9:E34" si="6">E5</f>
        <v>1.0073591553025814</v>
      </c>
      <c r="F9" s="55">
        <f t="shared" si="0"/>
        <v>957.95029500689066</v>
      </c>
      <c r="G9" s="51">
        <f t="shared" si="5"/>
        <v>950.98762697032373</v>
      </c>
      <c r="H9" s="55">
        <f t="shared" si="1"/>
        <v>6.9626680365669245</v>
      </c>
      <c r="I9" s="55">
        <f t="shared" si="2"/>
        <v>957.98609260803164</v>
      </c>
      <c r="J9" s="55"/>
    </row>
    <row r="10" spans="1:11" x14ac:dyDescent="0.3">
      <c r="A10" s="50" t="s">
        <v>59</v>
      </c>
      <c r="B10" s="37">
        <v>883</v>
      </c>
      <c r="C10" s="51">
        <f t="shared" si="3"/>
        <v>983.875</v>
      </c>
      <c r="D10" s="52">
        <f t="shared" si="4"/>
        <v>0.8974717316732308</v>
      </c>
      <c r="E10" s="52">
        <f t="shared" si="6"/>
        <v>0.90714060575851063</v>
      </c>
      <c r="F10" s="55">
        <f t="shared" si="0"/>
        <v>973.38824256651446</v>
      </c>
      <c r="G10" s="51">
        <f t="shared" si="5"/>
        <v>960.09900384325465</v>
      </c>
      <c r="H10" s="55">
        <f t="shared" si="1"/>
        <v>13.289238723259814</v>
      </c>
      <c r="I10" s="55">
        <f t="shared" si="2"/>
        <v>870.94479193451264</v>
      </c>
      <c r="J10" s="55"/>
    </row>
    <row r="11" spans="1:11" x14ac:dyDescent="0.3">
      <c r="A11" s="50" t="s">
        <v>78</v>
      </c>
      <c r="B11" s="37">
        <v>1084</v>
      </c>
      <c r="C11" s="51">
        <f t="shared" si="3"/>
        <v>1001</v>
      </c>
      <c r="D11" s="56">
        <f t="shared" si="4"/>
        <v>1.0829170829170829</v>
      </c>
      <c r="E11" s="56">
        <f t="shared" si="6"/>
        <v>1.0613789369996289</v>
      </c>
      <c r="F11" s="55">
        <f t="shared" si="0"/>
        <v>1021.3128998624353</v>
      </c>
      <c r="G11" s="51">
        <f t="shared" si="5"/>
        <v>973.11459509524275</v>
      </c>
      <c r="H11" s="55">
        <f t="shared" si="1"/>
        <v>48.198304767192553</v>
      </c>
      <c r="I11" s="55">
        <f t="shared" si="2"/>
        <v>1032.843334521013</v>
      </c>
      <c r="J11" s="55"/>
    </row>
    <row r="12" spans="1:11" x14ac:dyDescent="0.3">
      <c r="A12" s="50" t="s">
        <v>57</v>
      </c>
      <c r="B12" s="37">
        <v>1039</v>
      </c>
      <c r="C12" s="51">
        <f t="shared" si="3"/>
        <v>1014.75</v>
      </c>
      <c r="D12" s="56">
        <f t="shared" si="4"/>
        <v>1.0238975117023899</v>
      </c>
      <c r="E12" s="56">
        <f t="shared" si="6"/>
        <v>1.0170075806665213</v>
      </c>
      <c r="F12" s="55">
        <f t="shared" si="0"/>
        <v>1021.624636582419</v>
      </c>
      <c r="G12" s="51">
        <f t="shared" si="5"/>
        <v>1005.8573679534517</v>
      </c>
      <c r="H12" s="55">
        <f t="shared" si="1"/>
        <v>15.767268628967372</v>
      </c>
      <c r="I12" s="55">
        <f t="shared" si="2"/>
        <v>1022.9645682779349</v>
      </c>
      <c r="J12" s="55"/>
    </row>
    <row r="13" spans="1:11" x14ac:dyDescent="0.3">
      <c r="A13" s="50" t="s">
        <v>58</v>
      </c>
      <c r="B13" s="37">
        <v>1031</v>
      </c>
      <c r="C13" s="51">
        <f t="shared" si="3"/>
        <v>1024.875</v>
      </c>
      <c r="D13" s="56">
        <f t="shared" si="4"/>
        <v>1.0059763385778753</v>
      </c>
      <c r="E13" s="56">
        <f t="shared" si="6"/>
        <v>1.0073591553025814</v>
      </c>
      <c r="F13" s="55">
        <f t="shared" si="0"/>
        <v>1023.4681390177246</v>
      </c>
      <c r="G13" s="51">
        <f t="shared" si="5"/>
        <v>1024.64777262695</v>
      </c>
      <c r="H13" s="55">
        <f t="shared" si="1"/>
        <v>-1.1796336092253341</v>
      </c>
      <c r="I13" s="55">
        <f t="shared" si="2"/>
        <v>1032.1883147161557</v>
      </c>
      <c r="J13" s="55"/>
    </row>
    <row r="14" spans="1:11" x14ac:dyDescent="0.3">
      <c r="A14" s="50" t="s">
        <v>59</v>
      </c>
      <c r="B14" s="37">
        <v>927</v>
      </c>
      <c r="C14" s="51">
        <f t="shared" si="3"/>
        <v>1034.875</v>
      </c>
      <c r="D14" s="56">
        <f t="shared" si="4"/>
        <v>0.89576035753110284</v>
      </c>
      <c r="E14" s="56">
        <f t="shared" si="6"/>
        <v>0.90714060575851063</v>
      </c>
      <c r="F14" s="55">
        <f t="shared" si="0"/>
        <v>1021.8922999537473</v>
      </c>
      <c r="G14" s="51">
        <f t="shared" si="5"/>
        <v>1035.4668035061286</v>
      </c>
      <c r="H14" s="55">
        <f t="shared" si="1"/>
        <v>-13.574503552381316</v>
      </c>
      <c r="I14" s="55">
        <f t="shared" si="2"/>
        <v>939.31398337537814</v>
      </c>
      <c r="J14" s="55"/>
    </row>
    <row r="15" spans="1:11" x14ac:dyDescent="0.3">
      <c r="A15" s="50" t="s">
        <v>79</v>
      </c>
      <c r="B15" s="37">
        <v>1121</v>
      </c>
      <c r="C15" s="51">
        <f t="shared" si="3"/>
        <v>1047.75</v>
      </c>
      <c r="D15" s="56">
        <f t="shared" si="4"/>
        <v>1.069911715581007</v>
      </c>
      <c r="E15" s="56">
        <f t="shared" si="6"/>
        <v>1.0613789369996289</v>
      </c>
      <c r="F15" s="55">
        <f t="shared" si="0"/>
        <v>1056.1732110201015</v>
      </c>
      <c r="G15" s="51">
        <f t="shared" si="5"/>
        <v>1039.5371611794483</v>
      </c>
      <c r="H15" s="55">
        <f t="shared" si="1"/>
        <v>16.636049840653186</v>
      </c>
      <c r="I15" s="55">
        <f t="shared" si="2"/>
        <v>1103.3428471042548</v>
      </c>
      <c r="J15" s="55"/>
    </row>
    <row r="16" spans="1:11" x14ac:dyDescent="0.3">
      <c r="A16" s="50" t="s">
        <v>57</v>
      </c>
      <c r="B16" s="37">
        <v>1082</v>
      </c>
      <c r="C16" s="51">
        <f t="shared" si="3"/>
        <v>1063.5</v>
      </c>
      <c r="D16" s="56">
        <f t="shared" si="4"/>
        <v>1.0173953925716972</v>
      </c>
      <c r="E16" s="56">
        <f t="shared" si="6"/>
        <v>1.0170075806665213</v>
      </c>
      <c r="F16" s="55">
        <f t="shared" si="0"/>
        <v>1063.9055406950697</v>
      </c>
      <c r="G16" s="51">
        <f t="shared" si="5"/>
        <v>1058.8678211441506</v>
      </c>
      <c r="H16" s="55">
        <f t="shared" si="1"/>
        <v>5.0377195509190642</v>
      </c>
      <c r="I16" s="55">
        <f t="shared" si="2"/>
        <v>1076.8766010274435</v>
      </c>
      <c r="J16" s="55"/>
    </row>
    <row r="17" spans="1:10" x14ac:dyDescent="0.3">
      <c r="A17" s="50" t="s">
        <v>58</v>
      </c>
      <c r="B17" s="37">
        <v>1091</v>
      </c>
      <c r="C17" s="51">
        <f t="shared" si="3"/>
        <v>1077.875</v>
      </c>
      <c r="D17" s="56">
        <f t="shared" si="4"/>
        <v>1.012176736634582</v>
      </c>
      <c r="E17" s="56">
        <f t="shared" si="6"/>
        <v>1.0073591553025814</v>
      </c>
      <c r="F17" s="55">
        <f t="shared" si="0"/>
        <v>1083.0298153912101</v>
      </c>
      <c r="G17" s="51">
        <f t="shared" si="5"/>
        <v>1073.1652538183907</v>
      </c>
      <c r="H17" s="55">
        <f t="shared" si="1"/>
        <v>9.8645615728194116</v>
      </c>
      <c r="I17" s="55">
        <f t="shared" si="2"/>
        <v>1081.0628435865744</v>
      </c>
      <c r="J17" s="55"/>
    </row>
    <row r="18" spans="1:10" x14ac:dyDescent="0.3">
      <c r="A18" s="50" t="s">
        <v>59</v>
      </c>
      <c r="B18" s="37">
        <v>993</v>
      </c>
      <c r="C18" s="51">
        <f t="shared" si="3"/>
        <v>1087.75</v>
      </c>
      <c r="D18" s="56">
        <f t="shared" si="4"/>
        <v>0.91289358768099282</v>
      </c>
      <c r="E18" s="56">
        <f t="shared" si="6"/>
        <v>0.90714060575851063</v>
      </c>
      <c r="F18" s="55">
        <f t="shared" si="0"/>
        <v>1094.6483860345966</v>
      </c>
      <c r="G18" s="51">
        <f t="shared" si="5"/>
        <v>1090.4215691708073</v>
      </c>
      <c r="H18" s="55">
        <f t="shared" si="1"/>
        <v>4.2268168637892813</v>
      </c>
      <c r="I18" s="55">
        <f t="shared" si="2"/>
        <v>989.16568278975183</v>
      </c>
      <c r="J18" s="55"/>
    </row>
    <row r="19" spans="1:10" x14ac:dyDescent="0.3">
      <c r="A19" s="50" t="s">
        <v>80</v>
      </c>
      <c r="B19" s="37">
        <v>1170</v>
      </c>
      <c r="C19" s="51">
        <f t="shared" si="3"/>
        <v>1095.875</v>
      </c>
      <c r="D19" s="56">
        <f t="shared" si="4"/>
        <v>1.0676400136876925</v>
      </c>
      <c r="E19" s="56">
        <f t="shared" si="6"/>
        <v>1.0613789369996289</v>
      </c>
      <c r="F19" s="55">
        <f t="shared" si="0"/>
        <v>1102.3395690397133</v>
      </c>
      <c r="G19" s="51">
        <f t="shared" si="5"/>
        <v>1105.359791215144</v>
      </c>
      <c r="H19" s="55">
        <f t="shared" si="1"/>
        <v>-3.0202221754307175</v>
      </c>
      <c r="I19" s="55">
        <f t="shared" si="2"/>
        <v>1173.2056002020613</v>
      </c>
      <c r="J19" s="55"/>
    </row>
    <row r="20" spans="1:10" x14ac:dyDescent="0.3">
      <c r="A20" s="50" t="s">
        <v>57</v>
      </c>
      <c r="B20" s="37">
        <v>1112</v>
      </c>
      <c r="C20" s="51">
        <f>(AVERAGE(B18:B21)+AVERAGE(B19:B22))/2</f>
        <v>1104.125</v>
      </c>
      <c r="D20" s="56">
        <f t="shared" si="4"/>
        <v>1.0071323446167779</v>
      </c>
      <c r="E20" s="56">
        <f t="shared" si="6"/>
        <v>1.0170075806665213</v>
      </c>
      <c r="F20" s="55">
        <f t="shared" si="0"/>
        <v>1093.4038458899422</v>
      </c>
      <c r="G20" s="51">
        <f t="shared" si="5"/>
        <v>1116.707427062111</v>
      </c>
      <c r="H20" s="55">
        <f>F20-G20</f>
        <v>-23.303581172168833</v>
      </c>
      <c r="I20" s="55">
        <f>G20*E20</f>
        <v>1135.6999187087733</v>
      </c>
      <c r="J20" s="55"/>
    </row>
    <row r="21" spans="1:10" x14ac:dyDescent="0.3">
      <c r="A21" s="50" t="s">
        <v>58</v>
      </c>
      <c r="B21" s="37">
        <v>1126</v>
      </c>
      <c r="C21" s="51">
        <f>(AVERAGE(B19:B22)+AVERAGE(B20:B23))/2</f>
        <v>1096.625</v>
      </c>
      <c r="D21" s="56">
        <f t="shared" si="4"/>
        <v>1.0267867320186936</v>
      </c>
      <c r="E21" s="56">
        <f t="shared" si="6"/>
        <v>1.0073591553025814</v>
      </c>
      <c r="F21" s="55">
        <f t="shared" si="0"/>
        <v>1117.7741266090766</v>
      </c>
      <c r="G21" s="51">
        <f t="shared" si="5"/>
        <v>1116.9325764755631</v>
      </c>
      <c r="H21" s="55">
        <f>F21-G21</f>
        <v>0.84155013351346497</v>
      </c>
      <c r="I21" s="55">
        <f>G21*E21</f>
        <v>1125.1522567683592</v>
      </c>
      <c r="J21" s="55"/>
    </row>
    <row r="22" spans="1:10" x14ac:dyDescent="0.3">
      <c r="A22" s="50" t="s">
        <v>59</v>
      </c>
      <c r="B22" s="37">
        <v>1024</v>
      </c>
      <c r="C22" s="51">
        <f>(AVERAGE(B20:B23)+AVERAGE(B21:B24))/2</f>
        <v>1086.625</v>
      </c>
      <c r="D22" s="56">
        <f t="shared" si="4"/>
        <v>0.94236742206372948</v>
      </c>
      <c r="E22" s="56">
        <f t="shared" si="6"/>
        <v>0.90714060575851063</v>
      </c>
      <c r="F22" s="55">
        <f t="shared" si="0"/>
        <v>1128.8216991937834</v>
      </c>
      <c r="G22" s="51">
        <f t="shared" si="5"/>
        <v>1128.4543262531192</v>
      </c>
      <c r="H22" s="55">
        <f>F22-G22</f>
        <v>0.36737294066415416</v>
      </c>
      <c r="I22" s="55">
        <f>G22*E22</f>
        <v>1023.6667410880666</v>
      </c>
      <c r="J22" s="55"/>
    </row>
    <row r="23" spans="1:10" x14ac:dyDescent="0.3">
      <c r="A23" s="50" t="s">
        <v>81</v>
      </c>
      <c r="B23" s="37">
        <v>1079</v>
      </c>
      <c r="C23" s="51">
        <f>(AVERAGE(B21:B24)+AVERAGE(B22:B25))/2</f>
        <v>1091.125</v>
      </c>
      <c r="D23" s="56">
        <f t="shared" si="4"/>
        <v>0.98888761599266817</v>
      </c>
      <c r="E23" s="56">
        <f t="shared" si="6"/>
        <v>1.0613789369996289</v>
      </c>
      <c r="F23" s="55">
        <f t="shared" si="0"/>
        <v>1016.6020470032912</v>
      </c>
      <c r="G23" s="51">
        <f t="shared" si="5"/>
        <v>1139.7819640726641</v>
      </c>
      <c r="H23" s="55">
        <f t="shared" ref="H23:H34" si="7">F23-G23</f>
        <v>-123.17991706937289</v>
      </c>
      <c r="I23" s="55">
        <f t="shared" ref="I23:I34" si="8">G23*E23</f>
        <v>1209.7405694387935</v>
      </c>
      <c r="J23" s="55"/>
    </row>
    <row r="24" spans="1:10" x14ac:dyDescent="0.3">
      <c r="A24" s="50" t="s">
        <v>57</v>
      </c>
      <c r="B24" s="37">
        <v>1123</v>
      </c>
      <c r="C24" s="51">
        <f>(AVERAGE(B22:B25)+AVERAGE(B23:B26))/2</f>
        <v>1098.75</v>
      </c>
      <c r="D24" s="56">
        <f t="shared" si="4"/>
        <v>1.022070534698521</v>
      </c>
      <c r="E24" s="56">
        <f t="shared" si="6"/>
        <v>1.0170075806665213</v>
      </c>
      <c r="F24" s="55">
        <f t="shared" si="0"/>
        <v>1104.219891128062</v>
      </c>
      <c r="G24" s="51">
        <f t="shared" si="5"/>
        <v>1084.7175253859302</v>
      </c>
      <c r="H24" s="55">
        <f t="shared" si="7"/>
        <v>19.502365742131815</v>
      </c>
      <c r="I24" s="55">
        <f t="shared" si="8"/>
        <v>1103.1659461993208</v>
      </c>
      <c r="J24" s="55"/>
    </row>
    <row r="25" spans="1:10" x14ac:dyDescent="0.3">
      <c r="A25" s="50" t="s">
        <v>58</v>
      </c>
      <c r="B25" s="37">
        <v>1151</v>
      </c>
      <c r="C25" s="55"/>
      <c r="D25" s="56"/>
      <c r="E25" s="56">
        <f t="shared" si="6"/>
        <v>1.0073591553025814</v>
      </c>
      <c r="F25" s="55">
        <f t="shared" si="0"/>
        <v>1142.5914917646955</v>
      </c>
      <c r="G25" s="51">
        <f t="shared" si="5"/>
        <v>1097.4585518085723</v>
      </c>
      <c r="H25" s="55">
        <f t="shared" si="7"/>
        <v>45.132939956123209</v>
      </c>
      <c r="I25" s="55">
        <f t="shared" si="8"/>
        <v>1105.5349197294777</v>
      </c>
      <c r="J25" s="55"/>
    </row>
    <row r="26" spans="1:10" x14ac:dyDescent="0.3">
      <c r="A26" s="57" t="s">
        <v>59</v>
      </c>
      <c r="B26" s="80">
        <v>1060</v>
      </c>
      <c r="C26" s="58"/>
      <c r="D26" s="59"/>
      <c r="E26" s="59">
        <f t="shared" si="6"/>
        <v>0.90714060575851063</v>
      </c>
      <c r="F26" s="58">
        <f t="shared" si="0"/>
        <v>1168.5068370560648</v>
      </c>
      <c r="G26" s="60">
        <f t="shared" si="5"/>
        <v>1125.3875872457995</v>
      </c>
      <c r="H26" s="58">
        <f t="shared" si="7"/>
        <v>43.119249810265273</v>
      </c>
      <c r="I26" s="58">
        <f t="shared" si="8"/>
        <v>1020.8847776072633</v>
      </c>
      <c r="J26" s="61"/>
    </row>
    <row r="27" spans="1:10" x14ac:dyDescent="0.3">
      <c r="A27" s="62" t="s">
        <v>83</v>
      </c>
      <c r="B27" t="s">
        <v>60</v>
      </c>
      <c r="E27" s="56">
        <f>E23</f>
        <v>1.0613789369996289</v>
      </c>
      <c r="F27" s="51">
        <f t="shared" ref="F27:F32" si="9">G23</f>
        <v>1139.7819640726641</v>
      </c>
      <c r="G27" s="51">
        <f t="shared" si="5"/>
        <v>1155.4950400284847</v>
      </c>
      <c r="H27" s="55">
        <f t="shared" si="7"/>
        <v>-15.713075955820614</v>
      </c>
      <c r="I27" s="55">
        <f t="shared" si="8"/>
        <v>1226.4180972937768</v>
      </c>
      <c r="J27" s="55"/>
    </row>
    <row r="28" spans="1:10" x14ac:dyDescent="0.3">
      <c r="A28" s="62" t="s">
        <v>57</v>
      </c>
      <c r="E28" s="56">
        <f>E24</f>
        <v>1.0170075806665213</v>
      </c>
      <c r="F28" s="51">
        <f t="shared" si="9"/>
        <v>1084.7175253859302</v>
      </c>
      <c r="G28" s="51">
        <f t="shared" si="5"/>
        <v>1157.0899026943082</v>
      </c>
      <c r="H28" s="55">
        <f t="shared" si="7"/>
        <v>-72.372377308377963</v>
      </c>
      <c r="I28" s="55">
        <f t="shared" si="8"/>
        <v>1176.769202552799</v>
      </c>
      <c r="J28" s="55"/>
    </row>
    <row r="29" spans="1:10" x14ac:dyDescent="0.3">
      <c r="A29" s="62" t="s">
        <v>58</v>
      </c>
      <c r="E29" s="56">
        <f>E25</f>
        <v>1.0073591553025814</v>
      </c>
      <c r="F29" s="51">
        <f t="shared" si="9"/>
        <v>1097.4585518085723</v>
      </c>
      <c r="G29" s="51">
        <f t="shared" si="5"/>
        <v>1127.089599740365</v>
      </c>
      <c r="H29" s="55">
        <f t="shared" si="7"/>
        <v>-29.631047931792637</v>
      </c>
      <c r="I29" s="55">
        <f t="shared" si="8"/>
        <v>1135.3840271447787</v>
      </c>
      <c r="J29" s="55"/>
    </row>
    <row r="30" spans="1:10" x14ac:dyDescent="0.3">
      <c r="A30" s="62" t="s">
        <v>59</v>
      </c>
      <c r="E30" s="56">
        <f>E26</f>
        <v>0.90714060575851063</v>
      </c>
      <c r="F30" s="51">
        <f t="shared" si="9"/>
        <v>1125.3875872457995</v>
      </c>
      <c r="G30" s="51">
        <f t="shared" si="5"/>
        <v>1114.8378062817515</v>
      </c>
      <c r="H30" s="55">
        <f t="shared" si="7"/>
        <v>10.549780964048068</v>
      </c>
      <c r="I30" s="55">
        <f t="shared" si="8"/>
        <v>1011.3146429129172</v>
      </c>
      <c r="J30" s="55"/>
    </row>
    <row r="31" spans="1:10" x14ac:dyDescent="0.3">
      <c r="A31" s="62" t="s">
        <v>84</v>
      </c>
      <c r="E31" s="56">
        <f t="shared" si="6"/>
        <v>1.0613789369996289</v>
      </c>
      <c r="F31" s="51">
        <f t="shared" si="9"/>
        <v>1155.4950400284847</v>
      </c>
      <c r="G31" s="51">
        <f t="shared" si="5"/>
        <v>1122.0461762166613</v>
      </c>
      <c r="H31" s="55">
        <f t="shared" si="7"/>
        <v>33.448863811823458</v>
      </c>
      <c r="I31" s="55">
        <f t="shared" si="8"/>
        <v>1190.9161777773381</v>
      </c>
      <c r="J31" s="55"/>
    </row>
    <row r="32" spans="1:10" x14ac:dyDescent="0.3">
      <c r="A32" s="62" t="s">
        <v>57</v>
      </c>
      <c r="E32" s="56">
        <f t="shared" si="6"/>
        <v>1.0170075806665213</v>
      </c>
      <c r="F32" s="51">
        <f t="shared" si="9"/>
        <v>1157.0899026943082</v>
      </c>
      <c r="G32" s="51">
        <f t="shared" si="5"/>
        <v>1142.3272671186642</v>
      </c>
      <c r="H32" s="55">
        <f t="shared" si="7"/>
        <v>14.762635575644026</v>
      </c>
      <c r="I32" s="55">
        <f t="shared" si="8"/>
        <v>1161.7554902617517</v>
      </c>
      <c r="J32" s="55"/>
    </row>
    <row r="33" spans="1:10" x14ac:dyDescent="0.3">
      <c r="A33" s="62" t="s">
        <v>58</v>
      </c>
      <c r="E33" s="56">
        <f t="shared" si="6"/>
        <v>1.0073591553025814</v>
      </c>
      <c r="F33" s="51">
        <f>G33</f>
        <v>1154.9794688176239</v>
      </c>
      <c r="G33" s="51">
        <f t="shared" si="5"/>
        <v>1154.9794688176239</v>
      </c>
      <c r="H33" s="55">
        <f t="shared" si="7"/>
        <v>0</v>
      </c>
      <c r="I33" s="55">
        <f t="shared" si="8"/>
        <v>1163.4791420999456</v>
      </c>
      <c r="J33" s="55"/>
    </row>
    <row r="34" spans="1:10" x14ac:dyDescent="0.3">
      <c r="A34" s="62" t="s">
        <v>59</v>
      </c>
      <c r="E34" s="56">
        <f t="shared" si="6"/>
        <v>0.90714060575851063</v>
      </c>
      <c r="F34" s="51">
        <f>G34</f>
        <v>1160.761964042511</v>
      </c>
      <c r="G34" s="51">
        <f t="shared" si="5"/>
        <v>1160.761964042511</v>
      </c>
      <c r="H34" s="55">
        <f t="shared" si="7"/>
        <v>0</v>
      </c>
      <c r="I34" s="55">
        <f t="shared" si="8"/>
        <v>1052.9743112029619</v>
      </c>
      <c r="J34" s="5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zoomScale="90" zoomScaleNormal="90" workbookViewId="0">
      <selection activeCell="H27" sqref="H27"/>
    </sheetView>
  </sheetViews>
  <sheetFormatPr defaultRowHeight="14.4" x14ac:dyDescent="0.3"/>
  <cols>
    <col min="1" max="3" width="14" customWidth="1"/>
    <col min="4" max="4" width="17.21875" customWidth="1"/>
    <col min="5" max="5" width="16.33203125" customWidth="1"/>
    <col min="6" max="6" width="20.109375" customWidth="1"/>
    <col min="7" max="7" width="21" customWidth="1"/>
  </cols>
  <sheetData>
    <row r="1" spans="1:9" ht="15.6" x14ac:dyDescent="0.35">
      <c r="A1" s="63" t="s">
        <v>39</v>
      </c>
      <c r="B1" s="64" t="s">
        <v>61</v>
      </c>
      <c r="C1" s="64" t="s">
        <v>62</v>
      </c>
      <c r="D1" s="64" t="s">
        <v>63</v>
      </c>
      <c r="E1" s="64" t="s">
        <v>64</v>
      </c>
      <c r="F1" s="65" t="s">
        <v>65</v>
      </c>
      <c r="G1" s="66">
        <v>0.9</v>
      </c>
      <c r="H1" s="49" t="s">
        <v>66</v>
      </c>
      <c r="I1" s="28" t="s">
        <v>67</v>
      </c>
    </row>
    <row r="2" spans="1:9" x14ac:dyDescent="0.3">
      <c r="A2" s="24">
        <v>1</v>
      </c>
      <c r="B2" s="13" t="s">
        <v>56</v>
      </c>
      <c r="C2" s="37">
        <v>963</v>
      </c>
      <c r="D2" s="67">
        <f>(C2+C6+C10+C14+C18+C22)/6</f>
        <v>1074.6666666666667</v>
      </c>
      <c r="E2" s="68">
        <f>C2-D2</f>
        <v>-111.66666666666674</v>
      </c>
      <c r="F2" s="69"/>
      <c r="G2" s="70">
        <v>0.3019730800571912</v>
      </c>
      <c r="H2" s="49" t="s">
        <v>68</v>
      </c>
    </row>
    <row r="3" spans="1:9" x14ac:dyDescent="0.3">
      <c r="A3" s="24">
        <v>2</v>
      </c>
      <c r="B3" s="13" t="s">
        <v>57</v>
      </c>
      <c r="C3" s="37">
        <v>922</v>
      </c>
      <c r="D3" s="67">
        <f>(C3+C7+C11+C15+C19+C23)/6</f>
        <v>1041</v>
      </c>
      <c r="E3" s="68">
        <f>C3-D3</f>
        <v>-119</v>
      </c>
      <c r="F3" s="69"/>
      <c r="G3" s="48">
        <f>SUMXMY2(C6:C25,F6:F25)/COUNT(C6:C25)</f>
        <v>80.18235180630532</v>
      </c>
      <c r="H3" s="49" t="s">
        <v>55</v>
      </c>
    </row>
    <row r="4" spans="1:9" x14ac:dyDescent="0.3">
      <c r="A4" s="24">
        <v>3</v>
      </c>
      <c r="B4" s="13" t="s">
        <v>58</v>
      </c>
      <c r="C4" s="37">
        <v>908</v>
      </c>
      <c r="D4" s="67">
        <f>(C4+C8+C12+C16+C20+C24)/6</f>
        <v>1045.3333333333333</v>
      </c>
      <c r="E4" s="68">
        <f>C4-D4</f>
        <v>-137.33333333333326</v>
      </c>
      <c r="F4" s="69"/>
      <c r="G4" s="71"/>
    </row>
    <row r="5" spans="1:9" x14ac:dyDescent="0.3">
      <c r="A5" s="24">
        <v>4</v>
      </c>
      <c r="B5" s="13" t="s">
        <v>59</v>
      </c>
      <c r="C5" s="37">
        <v>822</v>
      </c>
      <c r="D5" s="67">
        <f>(C5+C9+C13+C17+C21+C25)/6</f>
        <v>951.5</v>
      </c>
      <c r="E5" s="68">
        <f>C5-D5</f>
        <v>-129.5</v>
      </c>
      <c r="F5" s="69"/>
      <c r="G5" s="71"/>
    </row>
    <row r="6" spans="1:9" x14ac:dyDescent="0.3">
      <c r="A6" s="24">
        <v>5</v>
      </c>
      <c r="B6" s="13" t="s">
        <v>56</v>
      </c>
      <c r="C6" s="37">
        <v>1031</v>
      </c>
      <c r="D6" s="72">
        <f>$G$1*(C6-E2)+(1-$G$1)*D5</f>
        <v>1123.5500000000002</v>
      </c>
      <c r="E6" s="71">
        <f>$G$2*(C6-D6)+(1-$G$2)*E2</f>
        <v>-105.89394795290681</v>
      </c>
      <c r="F6" s="69">
        <f>D6+E2</f>
        <v>1011.8833333333334</v>
      </c>
      <c r="G6" s="71"/>
    </row>
    <row r="7" spans="1:9" x14ac:dyDescent="0.3">
      <c r="A7" s="24">
        <v>6</v>
      </c>
      <c r="B7" s="13" t="s">
        <v>57</v>
      </c>
      <c r="C7" s="37">
        <v>968</v>
      </c>
      <c r="D7" s="72">
        <f t="shared" ref="D7:D21" si="0">$G$1*(C7-E3)+(1-$G$1)*D6</f>
        <v>1090.655</v>
      </c>
      <c r="E7" s="71">
        <f t="shared" ref="E7:E21" si="1">$G$2*(C7-D7)+(1-$G$2)*E3</f>
        <v>-120.10371160760903</v>
      </c>
      <c r="F7" s="69">
        <f t="shared" ref="F7:F25" si="2">D7+E3</f>
        <v>971.65499999999997</v>
      </c>
      <c r="G7" s="71"/>
    </row>
    <row r="8" spans="1:9" x14ac:dyDescent="0.3">
      <c r="A8" s="24">
        <v>7</v>
      </c>
      <c r="B8" s="13" t="s">
        <v>58</v>
      </c>
      <c r="C8" s="37">
        <v>965</v>
      </c>
      <c r="D8" s="72">
        <f t="shared" si="0"/>
        <v>1101.1654999999998</v>
      </c>
      <c r="E8" s="71">
        <f t="shared" si="1"/>
        <v>-136.9806791046731</v>
      </c>
      <c r="F8" s="69">
        <f t="shared" si="2"/>
        <v>963.83216666666658</v>
      </c>
      <c r="G8" s="71"/>
    </row>
    <row r="9" spans="1:9" x14ac:dyDescent="0.3">
      <c r="A9" s="24">
        <v>8</v>
      </c>
      <c r="B9" s="13" t="s">
        <v>59</v>
      </c>
      <c r="C9" s="37">
        <v>883</v>
      </c>
      <c r="D9" s="72">
        <f t="shared" si="0"/>
        <v>1021.36655</v>
      </c>
      <c r="E9" s="71">
        <f t="shared" si="1"/>
        <v>-132.17745941298108</v>
      </c>
      <c r="F9" s="69">
        <f t="shared" si="2"/>
        <v>891.86654999999996</v>
      </c>
      <c r="G9" s="71"/>
    </row>
    <row r="10" spans="1:9" x14ac:dyDescent="0.3">
      <c r="A10" s="24">
        <v>9</v>
      </c>
      <c r="B10" s="13" t="s">
        <v>56</v>
      </c>
      <c r="C10" s="37">
        <v>1084</v>
      </c>
      <c r="D10" s="72">
        <f t="shared" si="0"/>
        <v>1173.0412081576162</v>
      </c>
      <c r="E10" s="71">
        <f t="shared" si="1"/>
        <v>-100.80487420952052</v>
      </c>
      <c r="F10" s="69">
        <f t="shared" si="2"/>
        <v>1067.1472602047095</v>
      </c>
      <c r="G10" s="71"/>
    </row>
    <row r="11" spans="1:9" x14ac:dyDescent="0.3">
      <c r="A11" s="24">
        <v>10</v>
      </c>
      <c r="B11" s="13" t="s">
        <v>57</v>
      </c>
      <c r="C11" s="37">
        <v>1039</v>
      </c>
      <c r="D11" s="72">
        <f t="shared" si="0"/>
        <v>1160.4974612626097</v>
      </c>
      <c r="E11" s="71">
        <f t="shared" si="1"/>
        <v>-120.52458648375823</v>
      </c>
      <c r="F11" s="69">
        <f t="shared" si="2"/>
        <v>1040.3937496550006</v>
      </c>
      <c r="G11" s="71"/>
    </row>
    <row r="12" spans="1:9" x14ac:dyDescent="0.3">
      <c r="A12" s="24">
        <v>11</v>
      </c>
      <c r="B12" s="13" t="s">
        <v>58</v>
      </c>
      <c r="C12" s="37">
        <v>1031</v>
      </c>
      <c r="D12" s="72">
        <f t="shared" si="0"/>
        <v>1167.2323573204667</v>
      </c>
      <c r="E12" s="71">
        <f t="shared" si="1"/>
        <v>-136.7547060706224</v>
      </c>
      <c r="F12" s="69">
        <f t="shared" si="2"/>
        <v>1030.2516782157936</v>
      </c>
      <c r="G12" s="71"/>
    </row>
    <row r="13" spans="1:9" x14ac:dyDescent="0.3">
      <c r="A13" s="24">
        <v>12</v>
      </c>
      <c r="B13" s="13" t="s">
        <v>59</v>
      </c>
      <c r="C13" s="37">
        <v>927</v>
      </c>
      <c r="D13" s="72">
        <f t="shared" si="0"/>
        <v>1069.9829492037297</v>
      </c>
      <c r="E13" s="71">
        <f t="shared" si="1"/>
        <v>-135.44042644661999</v>
      </c>
      <c r="F13" s="69">
        <f t="shared" si="2"/>
        <v>937.80548979074865</v>
      </c>
      <c r="G13" s="71"/>
    </row>
    <row r="14" spans="1:9" x14ac:dyDescent="0.3">
      <c r="A14" s="24">
        <v>13</v>
      </c>
      <c r="B14" s="13" t="s">
        <v>56</v>
      </c>
      <c r="C14" s="37">
        <v>1121</v>
      </c>
      <c r="D14" s="72">
        <f t="shared" si="0"/>
        <v>1206.6226817089414</v>
      </c>
      <c r="E14" s="71">
        <f t="shared" si="1"/>
        <v>-96.220260778099458</v>
      </c>
      <c r="F14" s="69">
        <f t="shared" si="2"/>
        <v>1105.817807499421</v>
      </c>
      <c r="G14" s="71"/>
    </row>
    <row r="15" spans="1:9" x14ac:dyDescent="0.3">
      <c r="A15" s="24">
        <v>14</v>
      </c>
      <c r="B15" s="13" t="s">
        <v>57</v>
      </c>
      <c r="C15" s="37">
        <v>1082</v>
      </c>
      <c r="D15" s="72">
        <f t="shared" si="0"/>
        <v>1202.9343960062765</v>
      </c>
      <c r="E15" s="71">
        <f t="shared" si="1"/>
        <v>-120.64833792750986</v>
      </c>
      <c r="F15" s="69">
        <f t="shared" si="2"/>
        <v>1082.4098095225183</v>
      </c>
      <c r="G15" s="71"/>
    </row>
    <row r="16" spans="1:9" x14ac:dyDescent="0.3">
      <c r="A16" s="24">
        <v>15</v>
      </c>
      <c r="B16" s="13" t="s">
        <v>58</v>
      </c>
      <c r="C16" s="37">
        <v>1091</v>
      </c>
      <c r="D16" s="72">
        <f t="shared" si="0"/>
        <v>1225.2726750641878</v>
      </c>
      <c r="E16" s="71">
        <f t="shared" si="1"/>
        <v>-136.00519952281189</v>
      </c>
      <c r="F16" s="69">
        <f t="shared" si="2"/>
        <v>1088.5179689935653</v>
      </c>
      <c r="G16" s="71"/>
    </row>
    <row r="17" spans="1:7" x14ac:dyDescent="0.3">
      <c r="A17" s="24">
        <v>16</v>
      </c>
      <c r="B17" s="13" t="s">
        <v>59</v>
      </c>
      <c r="C17" s="37">
        <v>993</v>
      </c>
      <c r="D17" s="72">
        <f t="shared" si="0"/>
        <v>1138.1236513083768</v>
      </c>
      <c r="E17" s="71">
        <f t="shared" si="1"/>
        <v>-138.36449968301108</v>
      </c>
      <c r="F17" s="69">
        <f t="shared" si="2"/>
        <v>1002.6832248617568</v>
      </c>
      <c r="G17" s="71"/>
    </row>
    <row r="18" spans="1:7" x14ac:dyDescent="0.3">
      <c r="A18" s="24">
        <v>17</v>
      </c>
      <c r="B18" s="13" t="s">
        <v>56</v>
      </c>
      <c r="C18" s="37">
        <v>1170</v>
      </c>
      <c r="D18" s="72">
        <f t="shared" si="0"/>
        <v>1253.410599831127</v>
      </c>
      <c r="E18" s="71">
        <f t="shared" si="1"/>
        <v>-92.352088007453872</v>
      </c>
      <c r="F18" s="69">
        <f t="shared" si="2"/>
        <v>1157.1903390530276</v>
      </c>
      <c r="G18" s="71"/>
    </row>
    <row r="19" spans="1:7" x14ac:dyDescent="0.3">
      <c r="A19" s="24">
        <v>18</v>
      </c>
      <c r="B19" s="13" t="s">
        <v>57</v>
      </c>
      <c r="C19" s="37">
        <v>1112</v>
      </c>
      <c r="D19" s="72">
        <f t="shared" si="0"/>
        <v>1234.7245641178715</v>
      </c>
      <c r="E19" s="71">
        <f t="shared" si="1"/>
        <v>-121.2753023451088</v>
      </c>
      <c r="F19" s="69">
        <f t="shared" si="2"/>
        <v>1114.0762261903617</v>
      </c>
      <c r="G19" s="71"/>
    </row>
    <row r="20" spans="1:7" x14ac:dyDescent="0.3">
      <c r="A20" s="24">
        <v>19</v>
      </c>
      <c r="B20" s="13" t="s">
        <v>58</v>
      </c>
      <c r="C20" s="37">
        <v>1126</v>
      </c>
      <c r="D20" s="72">
        <f t="shared" si="0"/>
        <v>1259.2771359823178</v>
      </c>
      <c r="E20" s="71">
        <f t="shared" si="1"/>
        <v>-135.18139777289718</v>
      </c>
      <c r="F20" s="69">
        <f t="shared" si="2"/>
        <v>1123.2719364595059</v>
      </c>
      <c r="G20" s="71"/>
    </row>
    <row r="21" spans="1:7" x14ac:dyDescent="0.3">
      <c r="A21" s="24">
        <v>20</v>
      </c>
      <c r="B21" s="13" t="s">
        <v>59</v>
      </c>
      <c r="C21" s="37">
        <v>1024</v>
      </c>
      <c r="D21" s="72">
        <f t="shared" si="0"/>
        <v>1172.0557633129417</v>
      </c>
      <c r="E21" s="71">
        <f t="shared" si="1"/>
        <v>-141.29100041098746</v>
      </c>
      <c r="F21" s="69">
        <f t="shared" si="2"/>
        <v>1033.6912636299307</v>
      </c>
      <c r="G21" s="71"/>
    </row>
    <row r="22" spans="1:7" x14ac:dyDescent="0.3">
      <c r="A22" s="24">
        <v>21</v>
      </c>
      <c r="B22" s="13" t="s">
        <v>56</v>
      </c>
      <c r="C22" s="37">
        <v>1079</v>
      </c>
      <c r="D22" s="72">
        <f>$G$1*(C22-E18)+(1-$G$1)*D21</f>
        <v>1171.4224555380026</v>
      </c>
      <c r="E22" s="71">
        <f>$G$2*(C22-D22)+(1-$G$2)*E18</f>
        <v>-92.373337107389716</v>
      </c>
      <c r="F22" s="69">
        <f t="shared" si="2"/>
        <v>1079.0703675305488</v>
      </c>
      <c r="G22" s="71"/>
    </row>
    <row r="23" spans="1:7" x14ac:dyDescent="0.3">
      <c r="A23" s="24">
        <v>22</v>
      </c>
      <c r="B23" s="13" t="s">
        <v>57</v>
      </c>
      <c r="C23" s="37">
        <v>1123</v>
      </c>
      <c r="D23" s="72">
        <f>$G$1*(C23-E19)+(1-$G$1)*D22</f>
        <v>1236.990017664398</v>
      </c>
      <c r="E23" s="71">
        <f>$G$2*(C23-D23)+(1-$G$2)*E19</f>
        <v>-119.07534249098109</v>
      </c>
      <c r="F23" s="69">
        <f t="shared" si="2"/>
        <v>1115.7147153192891</v>
      </c>
      <c r="G23" s="71"/>
    </row>
    <row r="24" spans="1:7" x14ac:dyDescent="0.3">
      <c r="A24" s="24">
        <v>23</v>
      </c>
      <c r="B24" s="13" t="s">
        <v>58</v>
      </c>
      <c r="C24" s="37">
        <v>1151</v>
      </c>
      <c r="D24" s="72">
        <f>$G$1*(C24-E20)+(1-$G$1)*D23</f>
        <v>1281.2622597620473</v>
      </c>
      <c r="E24" s="71">
        <f>$G$2*(C24-D24)+(1-$G$2)*E20</f>
        <v>-133.69595051653442</v>
      </c>
      <c r="F24" s="69">
        <f t="shared" si="2"/>
        <v>1146.08086198915</v>
      </c>
      <c r="G24" s="71"/>
    </row>
    <row r="25" spans="1:7" x14ac:dyDescent="0.3">
      <c r="A25" s="24">
        <v>24</v>
      </c>
      <c r="B25" s="13" t="s">
        <v>59</v>
      </c>
      <c r="C25" s="80">
        <v>1060</v>
      </c>
      <c r="D25" s="72">
        <f>$G$1*(C25-E21)+(1-$G$1)*D24</f>
        <v>1209.2881263460933</v>
      </c>
      <c r="E25" s="71">
        <f>$G$2*(C25-D25)+(1-$G$2)*E21</f>
        <v>-143.70591716121663</v>
      </c>
      <c r="F25" s="69">
        <f t="shared" si="2"/>
        <v>1067.9971259351059</v>
      </c>
      <c r="G25" s="71"/>
    </row>
    <row r="26" spans="1:7" x14ac:dyDescent="0.3">
      <c r="A26" s="18">
        <v>25</v>
      </c>
      <c r="B26" s="73" t="s">
        <v>56</v>
      </c>
      <c r="C26" s="74"/>
      <c r="D26" s="74"/>
      <c r="E26" s="74"/>
      <c r="F26" s="75">
        <f>$D$25+E2</f>
        <v>1097.6214596794266</v>
      </c>
    </row>
    <row r="27" spans="1:7" x14ac:dyDescent="0.3">
      <c r="A27" s="24">
        <v>25</v>
      </c>
      <c r="B27" s="12" t="s">
        <v>57</v>
      </c>
      <c r="C27" s="76"/>
      <c r="D27" s="76"/>
      <c r="E27" s="76"/>
      <c r="F27" s="69">
        <f>$D$25+E3</f>
        <v>1090.2881263460933</v>
      </c>
    </row>
    <row r="28" spans="1:7" x14ac:dyDescent="0.3">
      <c r="A28" s="24">
        <v>25</v>
      </c>
      <c r="B28" s="12" t="s">
        <v>58</v>
      </c>
      <c r="C28" s="76"/>
      <c r="D28" s="76"/>
      <c r="E28" s="76"/>
      <c r="F28" s="69">
        <f>$D$25+E4</f>
        <v>1071.9547930127601</v>
      </c>
    </row>
    <row r="29" spans="1:7" x14ac:dyDescent="0.3">
      <c r="A29" s="26">
        <v>25</v>
      </c>
      <c r="B29" s="77" t="s">
        <v>59</v>
      </c>
      <c r="C29" s="8"/>
      <c r="D29" s="8"/>
      <c r="E29" s="8"/>
      <c r="F29" s="78">
        <f>$D$25+E5</f>
        <v>1079.7881263460933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5"/>
  <sheetViews>
    <sheetView tabSelected="1" topLeftCell="A2" zoomScale="60" zoomScaleNormal="60" workbookViewId="0">
      <selection activeCell="W82" sqref="W82"/>
    </sheetView>
  </sheetViews>
  <sheetFormatPr defaultRowHeight="14.4" x14ac:dyDescent="0.3"/>
  <cols>
    <col min="1" max="1" width="7" style="99" customWidth="1"/>
    <col min="2" max="3" width="11.44140625" style="99" customWidth="1"/>
    <col min="4" max="4" width="12.44140625" style="99" customWidth="1"/>
    <col min="5" max="6" width="13.77734375" style="99" customWidth="1"/>
    <col min="7" max="7" width="14.77734375" style="99" customWidth="1"/>
    <col min="8" max="8" width="10.21875" style="99" customWidth="1"/>
    <col min="9" max="9" width="12" style="99" customWidth="1"/>
    <col min="10" max="10" width="15.77734375" style="99" customWidth="1"/>
    <col min="11" max="11" width="12.33203125" style="99" customWidth="1"/>
    <col min="12" max="12" width="10.5546875" style="99" bestFit="1" customWidth="1"/>
    <col min="13" max="13" width="22.44140625" style="99" customWidth="1"/>
    <col min="14" max="16384" width="8.88671875" style="99"/>
  </cols>
  <sheetData>
    <row r="1" spans="1:14" s="94" customFormat="1" ht="58.2" x14ac:dyDescent="0.35">
      <c r="A1" s="92" t="s">
        <v>39</v>
      </c>
      <c r="B1" s="92" t="s">
        <v>86</v>
      </c>
      <c r="C1" s="89" t="s">
        <v>34</v>
      </c>
      <c r="D1" s="93" t="s">
        <v>87</v>
      </c>
      <c r="E1" s="92" t="s">
        <v>63</v>
      </c>
      <c r="F1" s="88" t="s">
        <v>85</v>
      </c>
      <c r="G1" s="88" t="s">
        <v>88</v>
      </c>
      <c r="H1" s="88" t="s">
        <v>89</v>
      </c>
      <c r="I1" s="89" t="s">
        <v>64</v>
      </c>
      <c r="J1" s="90" t="s">
        <v>69</v>
      </c>
      <c r="K1" s="91"/>
      <c r="N1" s="95" t="s">
        <v>90</v>
      </c>
    </row>
    <row r="2" spans="1:14" x14ac:dyDescent="0.3">
      <c r="A2" s="96">
        <v>1</v>
      </c>
      <c r="B2" s="97" t="s">
        <v>91</v>
      </c>
      <c r="C2" s="98" t="s">
        <v>92</v>
      </c>
      <c r="E2" s="100"/>
      <c r="G2" s="101"/>
      <c r="H2" s="102"/>
      <c r="I2" s="103">
        <f t="shared" ref="I2:I13" si="0">AVERAGEIF(C$14:C$73,C2,H$14:H$73)</f>
        <v>0.89068970304415096</v>
      </c>
      <c r="J2" s="104"/>
      <c r="K2" s="101"/>
      <c r="L2" s="105">
        <v>0.24661410184814256</v>
      </c>
      <c r="M2" s="79" t="s">
        <v>66</v>
      </c>
    </row>
    <row r="3" spans="1:14" x14ac:dyDescent="0.3">
      <c r="A3" s="96">
        <v>2</v>
      </c>
      <c r="B3" s="97" t="s">
        <v>91</v>
      </c>
      <c r="C3" s="98" t="s">
        <v>93</v>
      </c>
      <c r="E3" s="100"/>
      <c r="G3" s="101"/>
      <c r="H3" s="102"/>
      <c r="I3" s="103">
        <f t="shared" si="0"/>
        <v>0.81398068869887685</v>
      </c>
      <c r="J3" s="104"/>
      <c r="K3" s="101"/>
      <c r="L3" s="105">
        <v>3.727879683563513E-3</v>
      </c>
      <c r="M3" s="79" t="s">
        <v>70</v>
      </c>
    </row>
    <row r="4" spans="1:14" x14ac:dyDescent="0.3">
      <c r="A4" s="96">
        <v>3</v>
      </c>
      <c r="B4" s="97" t="s">
        <v>91</v>
      </c>
      <c r="C4" s="98" t="s">
        <v>94</v>
      </c>
      <c r="E4" s="100"/>
      <c r="G4" s="101"/>
      <c r="H4" s="102"/>
      <c r="I4" s="103">
        <f t="shared" si="0"/>
        <v>1.0227304161011128</v>
      </c>
      <c r="J4" s="104"/>
      <c r="K4" s="101"/>
      <c r="L4" s="105">
        <v>0.70023254844100191</v>
      </c>
      <c r="M4" s="79" t="s">
        <v>71</v>
      </c>
    </row>
    <row r="5" spans="1:14" x14ac:dyDescent="0.3">
      <c r="A5" s="96">
        <v>4</v>
      </c>
      <c r="B5" s="97" t="s">
        <v>91</v>
      </c>
      <c r="C5" s="98" t="s">
        <v>95</v>
      </c>
      <c r="E5" s="100"/>
      <c r="G5" s="101"/>
      <c r="H5" s="102"/>
      <c r="I5" s="103">
        <f t="shared" si="0"/>
        <v>0.97941535317028328</v>
      </c>
      <c r="J5" s="104"/>
      <c r="K5" s="101"/>
      <c r="L5" s="106" t="s">
        <v>96</v>
      </c>
      <c r="M5" s="107">
        <f>(SUM(D26:D73)-SUM(J26:J73))/COUNT(J26:J73)</f>
        <v>-83409.56154086192</v>
      </c>
    </row>
    <row r="6" spans="1:14" x14ac:dyDescent="0.3">
      <c r="A6" s="96">
        <v>5</v>
      </c>
      <c r="B6" s="97" t="s">
        <v>91</v>
      </c>
      <c r="C6" s="98" t="s">
        <v>19</v>
      </c>
      <c r="E6" s="100"/>
      <c r="G6" s="101"/>
      <c r="H6" s="102"/>
      <c r="I6" s="103">
        <f t="shared" si="0"/>
        <v>1.0400516267926063</v>
      </c>
      <c r="J6" s="104"/>
      <c r="K6" s="101"/>
      <c r="L6" s="106" t="s">
        <v>97</v>
      </c>
      <c r="M6" s="107">
        <f t="array" ref="M6">(SUM(ABS((D26:D73)-(J26:J73))/COUNT(J26:J73)))</f>
        <v>704354.10157372605</v>
      </c>
    </row>
    <row r="7" spans="1:14" x14ac:dyDescent="0.3">
      <c r="A7" s="96">
        <v>6</v>
      </c>
      <c r="B7" s="97" t="s">
        <v>91</v>
      </c>
      <c r="C7" s="98" t="s">
        <v>98</v>
      </c>
      <c r="E7" s="100"/>
      <c r="G7" s="101"/>
      <c r="H7" s="102"/>
      <c r="I7" s="103">
        <f t="shared" si="0"/>
        <v>1.1051280060464894</v>
      </c>
      <c r="J7" s="104"/>
      <c r="K7" s="101"/>
      <c r="L7" s="106" t="s">
        <v>99</v>
      </c>
      <c r="M7" s="107">
        <f t="array" ref="M7">SUM(((D26:D73)-(J26:J73))/(D26:D73))/COUNT(J26:J73)</f>
        <v>-1.710038113784346E-3</v>
      </c>
    </row>
    <row r="8" spans="1:14" x14ac:dyDescent="0.3">
      <c r="A8" s="96">
        <v>7</v>
      </c>
      <c r="B8" s="97" t="s">
        <v>91</v>
      </c>
      <c r="C8" s="98" t="s">
        <v>100</v>
      </c>
      <c r="E8" s="100"/>
      <c r="G8" s="101"/>
      <c r="H8" s="102"/>
      <c r="I8" s="103">
        <f t="shared" si="0"/>
        <v>1.1684488999523928</v>
      </c>
      <c r="J8" s="104"/>
      <c r="K8" s="101"/>
      <c r="L8" s="106" t="s">
        <v>101</v>
      </c>
      <c r="M8" s="107">
        <f t="array" ref="M8">SUM(ABS((D26:D73)-(J26:J73))/(D26:D73))/COUNT(J26:J73)</f>
        <v>1.00675700934628E-2</v>
      </c>
    </row>
    <row r="9" spans="1:14" x14ac:dyDescent="0.3">
      <c r="A9" s="96">
        <v>8</v>
      </c>
      <c r="B9" s="97" t="s">
        <v>91</v>
      </c>
      <c r="C9" s="98" t="s">
        <v>102</v>
      </c>
      <c r="E9" s="100"/>
      <c r="G9" s="101"/>
      <c r="H9" s="102"/>
      <c r="I9" s="103">
        <f t="shared" si="0"/>
        <v>1.1303733825498208</v>
      </c>
      <c r="J9" s="104"/>
      <c r="K9" s="101"/>
      <c r="L9" s="108" t="s">
        <v>103</v>
      </c>
      <c r="M9" s="109">
        <f>SUMXMY2(D26:D73,J26:J73)/COUNT(J26:J73)</f>
        <v>892215852246.04309</v>
      </c>
    </row>
    <row r="10" spans="1:14" x14ac:dyDescent="0.3">
      <c r="A10" s="96">
        <v>9</v>
      </c>
      <c r="B10" s="97" t="s">
        <v>91</v>
      </c>
      <c r="C10" s="98" t="s">
        <v>104</v>
      </c>
      <c r="E10" s="100"/>
      <c r="G10" s="101"/>
      <c r="H10" s="102"/>
      <c r="I10" s="103">
        <f t="shared" si="0"/>
        <v>0.95655357274897368</v>
      </c>
      <c r="J10" s="104"/>
      <c r="K10" s="101"/>
      <c r="L10" s="106" t="s">
        <v>105</v>
      </c>
      <c r="M10" s="109">
        <f>SQRT(M9)</f>
        <v>944571.78247396485</v>
      </c>
    </row>
    <row r="11" spans="1:14" x14ac:dyDescent="0.3">
      <c r="A11" s="96">
        <v>10</v>
      </c>
      <c r="B11" s="97" t="s">
        <v>91</v>
      </c>
      <c r="C11" s="98" t="s">
        <v>106</v>
      </c>
      <c r="E11" s="100"/>
      <c r="G11" s="101"/>
      <c r="H11" s="102"/>
      <c r="I11" s="103">
        <f t="shared" si="0"/>
        <v>0.99139080010227121</v>
      </c>
      <c r="J11" s="104"/>
      <c r="K11" s="101"/>
      <c r="L11" s="106" t="s">
        <v>107</v>
      </c>
      <c r="M11" s="109">
        <f>SQRT(SUMXMY2(D26:D73,J26:J73)/(COUNT(J26:J73)-3))</f>
        <v>975549.5420850988</v>
      </c>
    </row>
    <row r="12" spans="1:14" x14ac:dyDescent="0.3">
      <c r="A12" s="96">
        <v>11</v>
      </c>
      <c r="B12" s="97" t="s">
        <v>91</v>
      </c>
      <c r="C12" s="98" t="s">
        <v>108</v>
      </c>
      <c r="E12" s="100"/>
      <c r="G12" s="101"/>
      <c r="H12" s="102"/>
      <c r="I12" s="103">
        <f t="shared" si="0"/>
        <v>0.91635699313150343</v>
      </c>
      <c r="J12" s="104"/>
      <c r="K12" s="101"/>
    </row>
    <row r="13" spans="1:14" ht="15.6" x14ac:dyDescent="0.35">
      <c r="A13" s="96">
        <v>12</v>
      </c>
      <c r="B13" s="97" t="s">
        <v>91</v>
      </c>
      <c r="C13" s="98" t="s">
        <v>109</v>
      </c>
      <c r="E13" s="110">
        <f>D14</f>
        <v>61630362</v>
      </c>
      <c r="F13" s="111">
        <f t="array" ref="F13">AVERAGE((D26:D37-D14:D25)/12)</f>
        <v>47352.256944444438</v>
      </c>
      <c r="G13" s="101"/>
      <c r="H13" s="102"/>
      <c r="I13" s="103">
        <f t="shared" si="0"/>
        <v>0.98488055766151883</v>
      </c>
      <c r="J13" s="104"/>
      <c r="K13" s="101"/>
      <c r="L13" s="112" t="s">
        <v>110</v>
      </c>
      <c r="M13" s="99" t="s">
        <v>124</v>
      </c>
    </row>
    <row r="14" spans="1:14" x14ac:dyDescent="0.3">
      <c r="A14" s="96">
        <v>1</v>
      </c>
      <c r="B14" s="100">
        <v>2011</v>
      </c>
      <c r="C14" s="98" t="s">
        <v>92</v>
      </c>
      <c r="D14" s="113">
        <v>61630362</v>
      </c>
      <c r="E14" s="114">
        <f t="shared" ref="E14:E73" si="1">L$2*(D14/I2)+(1-L$2)*(E13+F13)</f>
        <v>63531330.413716048</v>
      </c>
      <c r="F14" s="115">
        <f t="shared" ref="F14:F73" si="2">$L$3*(E14-E13)+(1-$L$3)*F13</f>
        <v>54262.314956398382</v>
      </c>
      <c r="G14" s="101"/>
      <c r="H14" s="116">
        <f t="shared" ref="H14:H25" si="3">D14/$G$25</f>
        <v>0.89544773420471913</v>
      </c>
      <c r="I14" s="117">
        <f t="shared" ref="I14:I73" si="4">$L$4*(D14/E14)+(1-$L$4)*I2</f>
        <v>0.9462801494928289</v>
      </c>
      <c r="J14" s="104"/>
      <c r="K14" s="101"/>
      <c r="L14" s="118" t="s">
        <v>111</v>
      </c>
      <c r="M14" s="99" t="s">
        <v>112</v>
      </c>
    </row>
    <row r="15" spans="1:14" x14ac:dyDescent="0.3">
      <c r="A15" s="96">
        <v>2</v>
      </c>
      <c r="B15" s="100">
        <v>2011</v>
      </c>
      <c r="C15" s="98" t="s">
        <v>93</v>
      </c>
      <c r="D15" s="113">
        <v>55391206</v>
      </c>
      <c r="E15" s="114">
        <f t="shared" si="1"/>
        <v>64686524.023661464</v>
      </c>
      <c r="F15" s="115">
        <f t="shared" si="2"/>
        <v>58366.454363987214</v>
      </c>
      <c r="G15" s="101"/>
      <c r="H15" s="116">
        <f t="shared" si="3"/>
        <v>0.80479699125516813</v>
      </c>
      <c r="I15" s="117">
        <f t="shared" si="4"/>
        <v>0.84361551445665084</v>
      </c>
      <c r="J15" s="104"/>
      <c r="K15" s="101"/>
      <c r="L15" s="119" t="s">
        <v>113</v>
      </c>
      <c r="M15" s="99" t="s">
        <v>114</v>
      </c>
    </row>
    <row r="16" spans="1:14" x14ac:dyDescent="0.3">
      <c r="A16" s="96">
        <v>3</v>
      </c>
      <c r="B16" s="100">
        <v>2011</v>
      </c>
      <c r="C16" s="98" t="s">
        <v>94</v>
      </c>
      <c r="D16" s="113">
        <v>70158268</v>
      </c>
      <c r="E16" s="114">
        <f t="shared" si="1"/>
        <v>65695364.422904573</v>
      </c>
      <c r="F16" s="115">
        <f t="shared" si="2"/>
        <v>61909.706872858558</v>
      </c>
      <c r="G16" s="101"/>
      <c r="H16" s="116">
        <f t="shared" si="3"/>
        <v>1.0193524762409711</v>
      </c>
      <c r="I16" s="117">
        <f t="shared" si="4"/>
        <v>1.0543829539080534</v>
      </c>
      <c r="J16" s="104"/>
      <c r="K16" s="101"/>
      <c r="L16" s="120" t="s">
        <v>115</v>
      </c>
      <c r="M16" s="99" t="s">
        <v>116</v>
      </c>
    </row>
    <row r="17" spans="1:13" ht="15.6" x14ac:dyDescent="0.35">
      <c r="A17" s="96">
        <v>4</v>
      </c>
      <c r="B17" s="100">
        <v>2011</v>
      </c>
      <c r="C17" s="98" t="s">
        <v>95</v>
      </c>
      <c r="D17" s="113">
        <v>67683559</v>
      </c>
      <c r="E17" s="114">
        <f t="shared" si="1"/>
        <v>66583137.70021484</v>
      </c>
      <c r="F17" s="115">
        <f t="shared" si="2"/>
        <v>64988.4268984874</v>
      </c>
      <c r="G17" s="101"/>
      <c r="H17" s="116">
        <f t="shared" si="3"/>
        <v>0.98339661787904842</v>
      </c>
      <c r="I17" s="117">
        <f t="shared" si="4"/>
        <v>1.0054021549580558</v>
      </c>
      <c r="J17" s="104"/>
      <c r="K17" s="101"/>
      <c r="L17" s="121" t="s">
        <v>117</v>
      </c>
      <c r="M17" s="99" t="s">
        <v>125</v>
      </c>
    </row>
    <row r="18" spans="1:13" x14ac:dyDescent="0.3">
      <c r="A18" s="96">
        <v>5</v>
      </c>
      <c r="B18" s="100">
        <v>2011</v>
      </c>
      <c r="C18" s="98" t="s">
        <v>19</v>
      </c>
      <c r="D18" s="113">
        <v>71711448</v>
      </c>
      <c r="E18" s="114">
        <f t="shared" si="1"/>
        <v>67215774.206596553</v>
      </c>
      <c r="F18" s="115">
        <f t="shared" si="2"/>
        <v>67104.550641406764</v>
      </c>
      <c r="G18" s="101"/>
      <c r="H18" s="116">
        <f t="shared" si="3"/>
        <v>1.0419191376506849</v>
      </c>
      <c r="I18" s="117">
        <f t="shared" si="4"/>
        <v>1.0588406732052673</v>
      </c>
      <c r="J18" s="104"/>
      <c r="K18" s="101"/>
      <c r="L18" s="122" t="s">
        <v>118</v>
      </c>
      <c r="M18" s="99" t="s">
        <v>119</v>
      </c>
    </row>
    <row r="19" spans="1:13" x14ac:dyDescent="0.3">
      <c r="A19" s="96">
        <v>6</v>
      </c>
      <c r="B19" s="100">
        <v>2011</v>
      </c>
      <c r="C19" s="98" t="s">
        <v>98</v>
      </c>
      <c r="D19" s="113">
        <v>76057910</v>
      </c>
      <c r="E19" s="114">
        <f t="shared" si="1"/>
        <v>67662624.134170756</v>
      </c>
      <c r="F19" s="115">
        <f t="shared" si="2"/>
        <v>68520.195717001712</v>
      </c>
      <c r="G19" s="101"/>
      <c r="H19" s="116">
        <f t="shared" si="3"/>
        <v>1.1050703089793055</v>
      </c>
      <c r="I19" s="117">
        <f t="shared" si="4"/>
        <v>1.1183957816422521</v>
      </c>
      <c r="J19" s="104"/>
      <c r="K19" s="101"/>
      <c r="L19" s="123" t="s">
        <v>120</v>
      </c>
      <c r="M19" s="99" t="s">
        <v>121</v>
      </c>
    </row>
    <row r="20" spans="1:13" x14ac:dyDescent="0.3">
      <c r="A20" s="96">
        <v>7</v>
      </c>
      <c r="B20" s="100">
        <v>2011</v>
      </c>
      <c r="C20" s="98" t="s">
        <v>100</v>
      </c>
      <c r="D20" s="113">
        <v>81423231</v>
      </c>
      <c r="E20" s="114">
        <f t="shared" si="1"/>
        <v>68212965.127973557</v>
      </c>
      <c r="F20" s="115">
        <f t="shared" si="2"/>
        <v>70316.365681304116</v>
      </c>
      <c r="G20" s="101"/>
      <c r="H20" s="116">
        <f t="shared" si="3"/>
        <v>1.1830248167385005</v>
      </c>
      <c r="I20" s="117">
        <f t="shared" si="4"/>
        <v>1.1861040012036672</v>
      </c>
      <c r="J20" s="104"/>
      <c r="K20" s="101"/>
      <c r="L20" s="99" t="s">
        <v>122</v>
      </c>
      <c r="M20" s="99" t="s">
        <v>123</v>
      </c>
    </row>
    <row r="21" spans="1:13" x14ac:dyDescent="0.3">
      <c r="A21" s="96">
        <v>8</v>
      </c>
      <c r="B21" s="100">
        <v>2011</v>
      </c>
      <c r="C21" s="98" t="s">
        <v>102</v>
      </c>
      <c r="D21" s="113">
        <v>77247896</v>
      </c>
      <c r="E21" s="114">
        <f t="shared" si="1"/>
        <v>68296871.796686918</v>
      </c>
      <c r="F21" s="115">
        <f t="shared" si="2"/>
        <v>70367.028695870787</v>
      </c>
      <c r="G21" s="101"/>
      <c r="H21" s="116">
        <f t="shared" si="3"/>
        <v>1.1223600056946248</v>
      </c>
      <c r="I21" s="117">
        <f t="shared" si="4"/>
        <v>1.1308545454400287</v>
      </c>
      <c r="J21" s="104"/>
      <c r="K21" s="101"/>
    </row>
    <row r="22" spans="1:13" x14ac:dyDescent="0.3">
      <c r="A22" s="96">
        <v>9</v>
      </c>
      <c r="B22" s="100">
        <v>2011</v>
      </c>
      <c r="C22" s="98" t="s">
        <v>104</v>
      </c>
      <c r="D22" s="113">
        <v>66345318</v>
      </c>
      <c r="E22" s="114">
        <f t="shared" si="1"/>
        <v>68611748.605576858</v>
      </c>
      <c r="F22" s="115">
        <f t="shared" si="2"/>
        <v>71278.531737888843</v>
      </c>
      <c r="G22" s="101"/>
      <c r="H22" s="116">
        <f t="shared" si="3"/>
        <v>0.96395287566526977</v>
      </c>
      <c r="I22" s="117">
        <f t="shared" si="4"/>
        <v>0.96384561069113373</v>
      </c>
      <c r="J22" s="104"/>
      <c r="K22" s="101"/>
    </row>
    <row r="23" spans="1:13" x14ac:dyDescent="0.3">
      <c r="A23" s="96">
        <v>10</v>
      </c>
      <c r="B23" s="100">
        <v>2011</v>
      </c>
      <c r="C23" s="98" t="s">
        <v>106</v>
      </c>
      <c r="D23" s="113">
        <v>68177919</v>
      </c>
      <c r="E23" s="114">
        <f t="shared" si="1"/>
        <v>68704469.323726773</v>
      </c>
      <c r="F23" s="115">
        <f t="shared" si="2"/>
        <v>71358.465628985417</v>
      </c>
      <c r="G23" s="101"/>
      <c r="H23" s="116">
        <f t="shared" si="3"/>
        <v>0.99057933638849738</v>
      </c>
      <c r="I23" s="117">
        <f t="shared" si="4"/>
        <v>0.99205266726711128</v>
      </c>
      <c r="J23" s="104"/>
      <c r="K23" s="101"/>
    </row>
    <row r="24" spans="1:13" x14ac:dyDescent="0.3">
      <c r="A24" s="96">
        <v>11</v>
      </c>
      <c r="B24" s="100">
        <v>2011</v>
      </c>
      <c r="C24" s="98" t="s">
        <v>108</v>
      </c>
      <c r="D24" s="113">
        <v>63492941</v>
      </c>
      <c r="E24" s="114">
        <f t="shared" si="1"/>
        <v>68902243.699091464</v>
      </c>
      <c r="F24" s="115">
        <f t="shared" si="2"/>
        <v>71829.728930568352</v>
      </c>
      <c r="G24" s="101"/>
      <c r="H24" s="116">
        <f t="shared" si="3"/>
        <v>0.92250975511784128</v>
      </c>
      <c r="I24" s="117">
        <f t="shared" si="4"/>
        <v>0.9199534507147844</v>
      </c>
      <c r="J24" s="104"/>
      <c r="K24" s="101"/>
    </row>
    <row r="25" spans="1:13" x14ac:dyDescent="0.3">
      <c r="A25" s="96">
        <v>12</v>
      </c>
      <c r="B25" s="100">
        <v>2011</v>
      </c>
      <c r="C25" s="98" t="s">
        <v>109</v>
      </c>
      <c r="D25" s="113">
        <v>66595644</v>
      </c>
      <c r="E25" s="114">
        <f t="shared" si="1"/>
        <v>68639644.206721812</v>
      </c>
      <c r="F25" s="115">
        <f t="shared" si="2"/>
        <v>70583.017030893287</v>
      </c>
      <c r="G25" s="124">
        <f>AVERAGE(D14:D25)</f>
        <v>68826308.5</v>
      </c>
      <c r="H25" s="116">
        <f t="shared" si="3"/>
        <v>0.96758994418536914</v>
      </c>
      <c r="I25" s="117">
        <f t="shared" si="4"/>
        <v>0.9746156598050385</v>
      </c>
      <c r="J25" s="104"/>
      <c r="K25" s="101"/>
    </row>
    <row r="26" spans="1:13" hidden="1" x14ac:dyDescent="0.3">
      <c r="A26" s="96">
        <v>1</v>
      </c>
      <c r="B26" s="100">
        <f>B14+1</f>
        <v>2012</v>
      </c>
      <c r="C26" s="98" t="s">
        <v>92</v>
      </c>
      <c r="D26" s="113">
        <v>61940192</v>
      </c>
      <c r="E26" s="114">
        <f t="shared" si="1"/>
        <v>67907813.61274974</v>
      </c>
      <c r="F26" s="115">
        <f t="shared" si="2"/>
        <v>67591.7156326205</v>
      </c>
      <c r="G26" s="101"/>
      <c r="H26" s="116">
        <f t="shared" ref="H26:H37" si="5">D26/$G$37</f>
        <v>0.89258025115851258</v>
      </c>
      <c r="I26" s="117">
        <f t="shared" si="4"/>
        <v>0.92236130789598003</v>
      </c>
      <c r="J26" s="125">
        <f t="shared" ref="J26:J73" si="6">(E25+A26*F25)*I14</f>
        <v>65019124.088978954</v>
      </c>
      <c r="K26" s="126"/>
    </row>
    <row r="27" spans="1:13" hidden="1" x14ac:dyDescent="0.3">
      <c r="A27" s="96">
        <v>2</v>
      </c>
      <c r="B27" s="100">
        <f t="shared" ref="B27:B85" si="7">B15+1</f>
        <v>2012</v>
      </c>
      <c r="C27" s="98" t="s">
        <v>93</v>
      </c>
      <c r="D27" s="113">
        <v>58243799</v>
      </c>
      <c r="E27" s="114">
        <f t="shared" si="1"/>
        <v>68238120.073340356</v>
      </c>
      <c r="F27" s="115">
        <f t="shared" si="2"/>
        <v>68571.084592921979</v>
      </c>
      <c r="G27" s="101"/>
      <c r="H27" s="116">
        <f t="shared" si="5"/>
        <v>0.83931391009969625</v>
      </c>
      <c r="I27" s="117">
        <f t="shared" si="4"/>
        <v>0.8505632587584897</v>
      </c>
      <c r="J27" s="125">
        <f t="shared" si="6"/>
        <v>57402127.956459068</v>
      </c>
      <c r="K27" s="126"/>
    </row>
    <row r="28" spans="1:13" hidden="1" x14ac:dyDescent="0.3">
      <c r="A28" s="96">
        <v>3</v>
      </c>
      <c r="B28" s="100">
        <f t="shared" si="7"/>
        <v>2012</v>
      </c>
      <c r="C28" s="98" t="s">
        <v>94</v>
      </c>
      <c r="D28" s="113">
        <v>71696205</v>
      </c>
      <c r="E28" s="114">
        <f t="shared" si="1"/>
        <v>68230627.395047218</v>
      </c>
      <c r="F28" s="115">
        <f t="shared" si="2"/>
        <v>68287.528036603646</v>
      </c>
      <c r="G28" s="101"/>
      <c r="H28" s="116">
        <f t="shared" si="5"/>
        <v>1.0331678769418766</v>
      </c>
      <c r="I28" s="117">
        <f t="shared" si="4"/>
        <v>1.051868528875771</v>
      </c>
      <c r="J28" s="125">
        <f t="shared" si="6"/>
        <v>72166011.16023834</v>
      </c>
      <c r="K28" s="126"/>
    </row>
    <row r="29" spans="1:13" hidden="1" x14ac:dyDescent="0.3">
      <c r="A29" s="96">
        <v>4</v>
      </c>
      <c r="B29" s="100">
        <f t="shared" si="7"/>
        <v>2012</v>
      </c>
      <c r="C29" s="98" t="s">
        <v>95</v>
      </c>
      <c r="D29" s="113">
        <v>68669276</v>
      </c>
      <c r="E29" s="114">
        <f t="shared" si="1"/>
        <v>68299258.267614141</v>
      </c>
      <c r="F29" s="115">
        <f t="shared" si="2"/>
        <v>68288.807983702689</v>
      </c>
      <c r="G29" s="101"/>
      <c r="H29" s="116">
        <f t="shared" si="5"/>
        <v>0.9895487508168076</v>
      </c>
      <c r="I29" s="117">
        <f t="shared" si="4"/>
        <v>1.0054129667039924</v>
      </c>
      <c r="J29" s="125">
        <f t="shared" si="6"/>
        <v>68873845.528499663</v>
      </c>
      <c r="K29" s="126"/>
    </row>
    <row r="30" spans="1:13" hidden="1" x14ac:dyDescent="0.3">
      <c r="A30" s="96">
        <v>5</v>
      </c>
      <c r="B30" s="100">
        <f t="shared" si="7"/>
        <v>2012</v>
      </c>
      <c r="C30" s="98" t="s">
        <v>19</v>
      </c>
      <c r="D30" s="113">
        <v>71887545</v>
      </c>
      <c r="E30" s="114">
        <f t="shared" si="1"/>
        <v>68250441.419705421</v>
      </c>
      <c r="F30" s="115">
        <f t="shared" si="2"/>
        <v>67852.252188270941</v>
      </c>
      <c r="G30" s="101"/>
      <c r="H30" s="116">
        <f t="shared" si="5"/>
        <v>1.0359251545631127</v>
      </c>
      <c r="I30" s="117">
        <f t="shared" si="4"/>
        <v>1.0549542964870504</v>
      </c>
      <c r="J30" s="125">
        <f t="shared" si="6"/>
        <v>72679567.440590218</v>
      </c>
      <c r="K30" s="126"/>
    </row>
    <row r="31" spans="1:13" hidden="1" x14ac:dyDescent="0.3">
      <c r="A31" s="96">
        <v>6</v>
      </c>
      <c r="B31" s="100">
        <f t="shared" si="7"/>
        <v>2012</v>
      </c>
      <c r="C31" s="98" t="s">
        <v>98</v>
      </c>
      <c r="D31" s="113">
        <v>76760765</v>
      </c>
      <c r="E31" s="114">
        <f t="shared" si="1"/>
        <v>68396325.267441958</v>
      </c>
      <c r="F31" s="115">
        <f t="shared" si="2"/>
        <v>68143.144587991366</v>
      </c>
      <c r="G31" s="101"/>
      <c r="H31" s="116">
        <f t="shared" si="5"/>
        <v>1.1061499922831941</v>
      </c>
      <c r="I31" s="117">
        <f t="shared" si="4"/>
        <v>1.1211252314512066</v>
      </c>
      <c r="J31" s="125">
        <f t="shared" si="6"/>
        <v>76786319.814753905</v>
      </c>
      <c r="K31" s="126"/>
    </row>
    <row r="32" spans="1:13" hidden="1" x14ac:dyDescent="0.3">
      <c r="A32" s="96">
        <v>7</v>
      </c>
      <c r="B32" s="100">
        <f t="shared" si="7"/>
        <v>2012</v>
      </c>
      <c r="C32" s="98" t="s">
        <v>100</v>
      </c>
      <c r="D32" s="113">
        <v>80499331</v>
      </c>
      <c r="E32" s="114">
        <f t="shared" si="1"/>
        <v>68317542.350330666</v>
      </c>
      <c r="F32" s="115">
        <f t="shared" si="2"/>
        <v>67595.42190759661</v>
      </c>
      <c r="G32" s="101"/>
      <c r="H32" s="116">
        <f t="shared" si="5"/>
        <v>1.1600240613085642</v>
      </c>
      <c r="I32" s="117">
        <f t="shared" si="4"/>
        <v>1.1806472864998176</v>
      </c>
      <c r="J32" s="125">
        <f t="shared" si="6"/>
        <v>81690929.062493309</v>
      </c>
      <c r="K32" s="126"/>
    </row>
    <row r="33" spans="1:11" hidden="1" x14ac:dyDescent="0.3">
      <c r="A33" s="96">
        <v>8</v>
      </c>
      <c r="B33" s="100">
        <f t="shared" si="7"/>
        <v>2012</v>
      </c>
      <c r="C33" s="98" t="s">
        <v>102</v>
      </c>
      <c r="D33" s="113">
        <v>78609005</v>
      </c>
      <c r="E33" s="114">
        <f t="shared" si="1"/>
        <v>68663265.52604562</v>
      </c>
      <c r="F33" s="115">
        <f t="shared" si="2"/>
        <v>68632.248710450207</v>
      </c>
      <c r="G33" s="101"/>
      <c r="H33" s="116">
        <f t="shared" si="5"/>
        <v>1.1327837896631119</v>
      </c>
      <c r="I33" s="117">
        <f t="shared" si="4"/>
        <v>1.140653246230843</v>
      </c>
      <c r="J33" s="125">
        <f t="shared" si="6"/>
        <v>77868728.021084234</v>
      </c>
      <c r="K33" s="126"/>
    </row>
    <row r="34" spans="1:11" hidden="1" x14ac:dyDescent="0.3">
      <c r="A34" s="96">
        <v>9</v>
      </c>
      <c r="B34" s="100">
        <f t="shared" si="7"/>
        <v>2012</v>
      </c>
      <c r="C34" s="98" t="s">
        <v>104</v>
      </c>
      <c r="D34" s="113">
        <v>66008348</v>
      </c>
      <c r="E34" s="114">
        <f t="shared" si="1"/>
        <v>68670851.011533022</v>
      </c>
      <c r="F34" s="115">
        <f t="shared" si="2"/>
        <v>68404.673722083695</v>
      </c>
      <c r="G34" s="101"/>
      <c r="H34" s="116">
        <f t="shared" si="5"/>
        <v>0.95120382959740424</v>
      </c>
      <c r="I34" s="117">
        <f t="shared" si="4"/>
        <v>0.96201270735982825</v>
      </c>
      <c r="J34" s="125">
        <f t="shared" si="6"/>
        <v>66776145.118041776</v>
      </c>
      <c r="K34" s="126"/>
    </row>
    <row r="35" spans="1:11" hidden="1" x14ac:dyDescent="0.3">
      <c r="A35" s="96">
        <v>10</v>
      </c>
      <c r="B35" s="100">
        <f t="shared" si="7"/>
        <v>2012</v>
      </c>
      <c r="C35" s="98" t="s">
        <v>106</v>
      </c>
      <c r="D35" s="113">
        <v>67677764</v>
      </c>
      <c r="E35" s="114">
        <f t="shared" si="1"/>
        <v>68611182.767819583</v>
      </c>
      <c r="F35" s="115">
        <f t="shared" si="2"/>
        <v>67927.233295161102</v>
      </c>
      <c r="G35" s="101"/>
      <c r="H35" s="116">
        <f t="shared" si="5"/>
        <v>0.97526070937859766</v>
      </c>
      <c r="I35" s="117">
        <f t="shared" si="4"/>
        <v>0.98809135572179763</v>
      </c>
      <c r="J35" s="125">
        <f t="shared" si="6"/>
        <v>68803711.29968904</v>
      </c>
      <c r="K35" s="126"/>
    </row>
    <row r="36" spans="1:11" hidden="1" x14ac:dyDescent="0.3">
      <c r="A36" s="96">
        <v>11</v>
      </c>
      <c r="B36" s="100">
        <f t="shared" si="7"/>
        <v>2012</v>
      </c>
      <c r="C36" s="98" t="s">
        <v>108</v>
      </c>
      <c r="D36" s="113">
        <v>64039210</v>
      </c>
      <c r="E36" s="114">
        <f t="shared" si="1"/>
        <v>68909015.771852538</v>
      </c>
      <c r="F36" s="115">
        <f t="shared" si="2"/>
        <v>68784.294347028539</v>
      </c>
      <c r="G36" s="101"/>
      <c r="H36" s="116">
        <f t="shared" si="5"/>
        <v>0.92282784893196212</v>
      </c>
      <c r="I36" s="117">
        <f t="shared" si="4"/>
        <v>0.92651915853388522</v>
      </c>
      <c r="J36" s="125">
        <f t="shared" si="6"/>
        <v>63806483.164219692</v>
      </c>
      <c r="K36" s="126"/>
    </row>
    <row r="37" spans="1:11" hidden="1" x14ac:dyDescent="0.3">
      <c r="A37" s="96">
        <v>12</v>
      </c>
      <c r="B37" s="100">
        <f t="shared" si="7"/>
        <v>2012</v>
      </c>
      <c r="C37" s="98" t="s">
        <v>109</v>
      </c>
      <c r="D37" s="113">
        <v>66702987</v>
      </c>
      <c r="E37" s="114">
        <f t="shared" si="1"/>
        <v>68845244.681223914</v>
      </c>
      <c r="F37" s="115">
        <f t="shared" si="2"/>
        <v>68290.143820430865</v>
      </c>
      <c r="G37" s="124">
        <f>AVERAGE(D26:D37)</f>
        <v>69394535.583333328</v>
      </c>
      <c r="H37" s="116">
        <f t="shared" si="5"/>
        <v>0.96121382525716093</v>
      </c>
      <c r="I37" s="117">
        <f t="shared" si="4"/>
        <v>0.97060146276098225</v>
      </c>
      <c r="J37" s="125">
        <f t="shared" si="6"/>
        <v>67964264.878030896</v>
      </c>
      <c r="K37" s="126"/>
    </row>
    <row r="38" spans="1:11" hidden="1" x14ac:dyDescent="0.3">
      <c r="A38" s="96">
        <v>1</v>
      </c>
      <c r="B38" s="100">
        <f t="shared" si="7"/>
        <v>2013</v>
      </c>
      <c r="C38" s="98" t="s">
        <v>92</v>
      </c>
      <c r="D38" s="113">
        <v>63139217</v>
      </c>
      <c r="E38" s="114">
        <f t="shared" si="1"/>
        <v>68800179.257983074</v>
      </c>
      <c r="F38" s="115">
        <f t="shared" si="2"/>
        <v>67867.567904964322</v>
      </c>
      <c r="G38" s="101"/>
      <c r="H38" s="116">
        <f t="shared" ref="H38:H49" si="8">D38/$G$49</f>
        <v>0.89347969236087232</v>
      </c>
      <c r="I38" s="117">
        <f t="shared" si="4"/>
        <v>0.91911046310800648</v>
      </c>
      <c r="J38" s="125">
        <f t="shared" si="6"/>
        <v>63563178.112963073</v>
      </c>
      <c r="K38" s="126"/>
    </row>
    <row r="39" spans="1:11" hidden="1" x14ac:dyDescent="0.3">
      <c r="A39" s="96">
        <v>2</v>
      </c>
      <c r="B39" s="100">
        <f t="shared" si="7"/>
        <v>2013</v>
      </c>
      <c r="C39" s="98" t="s">
        <v>93</v>
      </c>
      <c r="D39" s="113">
        <v>58109870</v>
      </c>
      <c r="E39" s="114">
        <f t="shared" si="1"/>
        <v>68732713.35244298</v>
      </c>
      <c r="F39" s="115">
        <f t="shared" si="2"/>
        <v>67363.060998802408</v>
      </c>
      <c r="G39" s="101"/>
      <c r="H39" s="116">
        <f t="shared" si="8"/>
        <v>0.8223096711942165</v>
      </c>
      <c r="I39" s="117">
        <f t="shared" si="4"/>
        <v>0.84698072548637393</v>
      </c>
      <c r="J39" s="125">
        <f t="shared" si="6"/>
        <v>58634355.992280848</v>
      </c>
      <c r="K39" s="126"/>
    </row>
    <row r="40" spans="1:11" hidden="1" x14ac:dyDescent="0.3">
      <c r="A40" s="96">
        <v>3</v>
      </c>
      <c r="B40" s="100">
        <f t="shared" si="7"/>
        <v>2013</v>
      </c>
      <c r="C40" s="98" t="s">
        <v>94</v>
      </c>
      <c r="D40" s="113">
        <v>72764478</v>
      </c>
      <c r="E40" s="114">
        <f t="shared" si="1"/>
        <v>68892883.09308362</v>
      </c>
      <c r="F40" s="115">
        <f t="shared" si="2"/>
        <v>67709.033134338199</v>
      </c>
      <c r="G40" s="101"/>
      <c r="H40" s="116">
        <f t="shared" si="8"/>
        <v>1.0296862474274817</v>
      </c>
      <c r="I40" s="117">
        <f t="shared" si="4"/>
        <v>1.0548996843360807</v>
      </c>
      <c r="J40" s="125">
        <f t="shared" si="6"/>
        <v>72510349.331294402</v>
      </c>
      <c r="K40" s="126"/>
    </row>
    <row r="41" spans="1:11" hidden="1" x14ac:dyDescent="0.3">
      <c r="A41" s="96">
        <v>4</v>
      </c>
      <c r="B41" s="100">
        <f t="shared" si="7"/>
        <v>2013</v>
      </c>
      <c r="C41" s="98" t="s">
        <v>95</v>
      </c>
      <c r="D41" s="113">
        <v>68453537</v>
      </c>
      <c r="E41" s="114">
        <f t="shared" si="1"/>
        <v>68744657.5737198</v>
      </c>
      <c r="F41" s="115">
        <f t="shared" si="2"/>
        <v>66904.055103100938</v>
      </c>
      <c r="G41" s="101"/>
      <c r="H41" s="116">
        <f t="shared" si="8"/>
        <v>0.96868235125205293</v>
      </c>
      <c r="I41" s="117">
        <f t="shared" si="4"/>
        <v>0.99865727933003523</v>
      </c>
      <c r="J41" s="125">
        <f t="shared" si="6"/>
        <v>69538100.134913534</v>
      </c>
      <c r="K41" s="126"/>
    </row>
    <row r="42" spans="1:11" hidden="1" x14ac:dyDescent="0.3">
      <c r="A42" s="96">
        <v>5</v>
      </c>
      <c r="B42" s="100">
        <f t="shared" si="7"/>
        <v>2013</v>
      </c>
      <c r="C42" s="98" t="s">
        <v>19</v>
      </c>
      <c r="D42" s="113">
        <v>73574534</v>
      </c>
      <c r="E42" s="114">
        <f t="shared" si="1"/>
        <v>69041000.152966112</v>
      </c>
      <c r="F42" s="115">
        <f t="shared" si="2"/>
        <v>67759.374315881214</v>
      </c>
      <c r="G42" s="101"/>
      <c r="H42" s="116">
        <f t="shared" si="8"/>
        <v>1.041149306680736</v>
      </c>
      <c r="I42" s="117">
        <f t="shared" si="4"/>
        <v>1.0624538392448568</v>
      </c>
      <c r="J42" s="125">
        <f t="shared" si="6"/>
        <v>72875375.469843879</v>
      </c>
      <c r="K42" s="126"/>
    </row>
    <row r="43" spans="1:11" hidden="1" x14ac:dyDescent="0.3">
      <c r="A43" s="96">
        <v>6</v>
      </c>
      <c r="B43" s="100">
        <f t="shared" si="7"/>
        <v>2013</v>
      </c>
      <c r="C43" s="98" t="s">
        <v>98</v>
      </c>
      <c r="D43" s="113">
        <v>78467134</v>
      </c>
      <c r="E43" s="114">
        <f t="shared" si="1"/>
        <v>69325993.258693323</v>
      </c>
      <c r="F43" s="115">
        <f t="shared" si="2"/>
        <v>68569.195529794204</v>
      </c>
      <c r="G43" s="101"/>
      <c r="H43" s="116">
        <f t="shared" si="8"/>
        <v>1.1103842283435246</v>
      </c>
      <c r="I43" s="117">
        <f t="shared" si="4"/>
        <v>1.1286401999115976</v>
      </c>
      <c r="J43" s="125">
        <f t="shared" si="6"/>
        <v>77859407.741394207</v>
      </c>
      <c r="K43" s="126"/>
    </row>
    <row r="44" spans="1:11" hidden="1" x14ac:dyDescent="0.3">
      <c r="A44" s="96">
        <v>7</v>
      </c>
      <c r="B44" s="100">
        <f t="shared" si="7"/>
        <v>2013</v>
      </c>
      <c r="C44" s="98" t="s">
        <v>100</v>
      </c>
      <c r="D44" s="113">
        <v>81974582</v>
      </c>
      <c r="E44" s="114">
        <f t="shared" si="1"/>
        <v>69403769.932529807</v>
      </c>
      <c r="F44" s="115">
        <f t="shared" si="2"/>
        <v>68603.519901110558</v>
      </c>
      <c r="G44" s="101"/>
      <c r="H44" s="116">
        <f t="shared" si="8"/>
        <v>1.1600179379286744</v>
      </c>
      <c r="I44" s="117">
        <f t="shared" si="4"/>
        <v>1.180982344267103</v>
      </c>
      <c r="J44" s="125">
        <f t="shared" si="6"/>
        <v>82416238.067259014</v>
      </c>
      <c r="K44" s="126"/>
    </row>
    <row r="45" spans="1:11" hidden="1" x14ac:dyDescent="0.3">
      <c r="A45" s="96">
        <v>8</v>
      </c>
      <c r="B45" s="100">
        <f t="shared" si="7"/>
        <v>2013</v>
      </c>
      <c r="C45" s="98" t="s">
        <v>102</v>
      </c>
      <c r="D45" s="113">
        <v>80007788</v>
      </c>
      <c r="E45" s="114">
        <f t="shared" si="1"/>
        <v>69637531.828630909</v>
      </c>
      <c r="F45" s="115">
        <f t="shared" si="2"/>
        <v>69219.210456316854</v>
      </c>
      <c r="G45" s="101"/>
      <c r="H45" s="116">
        <f t="shared" si="8"/>
        <v>1.1321859409297694</v>
      </c>
      <c r="I45" s="117">
        <f t="shared" si="4"/>
        <v>1.1464402364612836</v>
      </c>
      <c r="J45" s="125">
        <f t="shared" si="6"/>
        <v>79791658.09562321</v>
      </c>
      <c r="K45" s="126"/>
    </row>
    <row r="46" spans="1:11" hidden="1" x14ac:dyDescent="0.3">
      <c r="A46" s="96">
        <v>9</v>
      </c>
      <c r="B46" s="100">
        <f t="shared" si="7"/>
        <v>2013</v>
      </c>
      <c r="C46" s="98" t="s">
        <v>104</v>
      </c>
      <c r="D46" s="113">
        <v>67203059</v>
      </c>
      <c r="E46" s="114">
        <f t="shared" si="1"/>
        <v>69743737.208409384</v>
      </c>
      <c r="F46" s="115">
        <f t="shared" si="2"/>
        <v>69357.090445505775</v>
      </c>
      <c r="G46" s="101"/>
      <c r="H46" s="116">
        <f t="shared" si="8"/>
        <v>0.95098690376584105</v>
      </c>
      <c r="I46" s="117">
        <f t="shared" si="4"/>
        <v>0.96310403918707999</v>
      </c>
      <c r="J46" s="125">
        <f t="shared" si="6"/>
        <v>67591498.368788958</v>
      </c>
      <c r="K46" s="126"/>
    </row>
    <row r="47" spans="1:11" hidden="1" x14ac:dyDescent="0.3">
      <c r="A47" s="96">
        <v>10</v>
      </c>
      <c r="B47" s="100">
        <f t="shared" si="7"/>
        <v>2013</v>
      </c>
      <c r="C47" s="98" t="s">
        <v>106</v>
      </c>
      <c r="D47" s="113">
        <v>69727370</v>
      </c>
      <c r="E47" s="114">
        <f t="shared" si="1"/>
        <v>69999199.600558355</v>
      </c>
      <c r="F47" s="115">
        <f t="shared" si="2"/>
        <v>70050.868618729583</v>
      </c>
      <c r="G47" s="101"/>
      <c r="H47" s="116">
        <f t="shared" si="8"/>
        <v>0.9867082940976718</v>
      </c>
      <c r="I47" s="117">
        <f t="shared" si="4"/>
        <v>0.99371094590447251</v>
      </c>
      <c r="J47" s="125">
        <f t="shared" si="6"/>
        <v>69598495.266634196</v>
      </c>
      <c r="K47" s="126"/>
    </row>
    <row r="48" spans="1:11" hidden="1" x14ac:dyDescent="0.3">
      <c r="A48" s="96">
        <v>11</v>
      </c>
      <c r="B48" s="100">
        <f t="shared" si="7"/>
        <v>2013</v>
      </c>
      <c r="C48" s="98" t="s">
        <v>108</v>
      </c>
      <c r="D48" s="113">
        <v>63611195</v>
      </c>
      <c r="E48" s="114">
        <f t="shared" si="1"/>
        <v>69720748.433904678</v>
      </c>
      <c r="F48" s="115">
        <f t="shared" si="2"/>
        <v>68751.694961757035</v>
      </c>
      <c r="G48" s="101"/>
      <c r="H48" s="116">
        <f t="shared" si="8"/>
        <v>0.90015862786685275</v>
      </c>
      <c r="I48" s="117">
        <f t="shared" si="4"/>
        <v>0.9166122179957128</v>
      </c>
      <c r="J48" s="125">
        <f t="shared" si="6"/>
        <v>65569537.702273928</v>
      </c>
      <c r="K48" s="126"/>
    </row>
    <row r="49" spans="1:11" hidden="1" x14ac:dyDescent="0.3">
      <c r="A49" s="96">
        <v>12</v>
      </c>
      <c r="B49" s="100">
        <f t="shared" si="7"/>
        <v>2013</v>
      </c>
      <c r="C49" s="98" t="s">
        <v>109</v>
      </c>
      <c r="D49" s="113">
        <v>70967040</v>
      </c>
      <c r="E49" s="114">
        <f t="shared" si="1"/>
        <v>70609999.98840867</v>
      </c>
      <c r="F49" s="115">
        <f t="shared" si="2"/>
        <v>71810.419718511257</v>
      </c>
      <c r="G49" s="124">
        <f>AVERAGE(D38:D49)</f>
        <v>70666650.333333328</v>
      </c>
      <c r="H49" s="116">
        <f t="shared" si="8"/>
        <v>1.0042507981523072</v>
      </c>
      <c r="I49" s="117">
        <f t="shared" si="4"/>
        <v>0.99472800671456396</v>
      </c>
      <c r="J49" s="125">
        <f t="shared" si="6"/>
        <v>68471826.363104478</v>
      </c>
      <c r="K49" s="126"/>
    </row>
    <row r="50" spans="1:11" hidden="1" x14ac:dyDescent="0.3">
      <c r="A50" s="96">
        <v>1</v>
      </c>
      <c r="B50" s="100">
        <f t="shared" si="7"/>
        <v>2014</v>
      </c>
      <c r="C50" s="98" t="s">
        <v>92</v>
      </c>
      <c r="D50" s="113">
        <v>64743622</v>
      </c>
      <c r="E50" s="114">
        <f t="shared" si="1"/>
        <v>70622573.925100148</v>
      </c>
      <c r="F50" s="115">
        <f t="shared" si="2"/>
        <v>71589.59323690903</v>
      </c>
      <c r="G50" s="101"/>
      <c r="H50" s="116">
        <f t="shared" ref="H50:H61" si="9">D50/$G$61</f>
        <v>0.89334691270085875</v>
      </c>
      <c r="I50" s="117">
        <f t="shared" si="4"/>
        <v>0.91746133152890552</v>
      </c>
      <c r="J50" s="125">
        <f t="shared" si="6"/>
        <v>64964391.497526079</v>
      </c>
      <c r="K50" s="126"/>
    </row>
    <row r="51" spans="1:11" hidden="1" x14ac:dyDescent="0.3">
      <c r="A51" s="96">
        <v>2</v>
      </c>
      <c r="B51" s="100">
        <f t="shared" si="7"/>
        <v>2014</v>
      </c>
      <c r="C51" s="98" t="s">
        <v>93</v>
      </c>
      <c r="D51" s="113">
        <v>58474896</v>
      </c>
      <c r="E51" s="114">
        <f t="shared" si="1"/>
        <v>70286033.251192138</v>
      </c>
      <c r="F51" s="115">
        <f t="shared" si="2"/>
        <v>70068.132705772136</v>
      </c>
      <c r="G51" s="101"/>
      <c r="H51" s="116">
        <f t="shared" si="9"/>
        <v>0.80684963550701239</v>
      </c>
      <c r="I51" s="117">
        <f t="shared" si="4"/>
        <v>0.83646001254062607</v>
      </c>
      <c r="J51" s="125">
        <f t="shared" si="6"/>
        <v>59937228.910030536</v>
      </c>
      <c r="K51" s="126"/>
    </row>
    <row r="52" spans="1:11" hidden="1" x14ac:dyDescent="0.3">
      <c r="A52" s="96">
        <v>3</v>
      </c>
      <c r="B52" s="100">
        <f>B40+1</f>
        <v>2014</v>
      </c>
      <c r="C52" s="98" t="s">
        <v>94</v>
      </c>
      <c r="D52" s="113">
        <v>74237229</v>
      </c>
      <c r="E52" s="114">
        <f t="shared" si="1"/>
        <v>70360449.652830094</v>
      </c>
      <c r="F52" s="115">
        <f t="shared" si="2"/>
        <v>70084.342529183094</v>
      </c>
      <c r="G52" s="101"/>
      <c r="H52" s="116">
        <f t="shared" si="9"/>
        <v>1.0243418160111069</v>
      </c>
      <c r="I52" s="117">
        <f t="shared" si="4"/>
        <v>1.0550391414992912</v>
      </c>
      <c r="J52" s="125">
        <f t="shared" si="6"/>
        <v>74366458.843137875</v>
      </c>
      <c r="K52" s="126"/>
    </row>
    <row r="53" spans="1:11" hidden="1" x14ac:dyDescent="0.3">
      <c r="A53" s="96">
        <v>4</v>
      </c>
      <c r="B53" s="100">
        <f t="shared" si="7"/>
        <v>2014</v>
      </c>
      <c r="C53" s="98" t="s">
        <v>95</v>
      </c>
      <c r="D53" s="113">
        <v>71278694</v>
      </c>
      <c r="E53" s="114">
        <f t="shared" si="1"/>
        <v>70663336.736203685</v>
      </c>
      <c r="F53" s="115">
        <f t="shared" si="2"/>
        <v>70952.203137054865</v>
      </c>
      <c r="G53" s="101"/>
      <c r="H53" s="116">
        <f t="shared" si="9"/>
        <v>0.98351929130948557</v>
      </c>
      <c r="I53" s="117">
        <f t="shared" si="4"/>
        <v>1.0056953284577554</v>
      </c>
      <c r="J53" s="125">
        <f t="shared" si="6"/>
        <v>70545936.178068534</v>
      </c>
      <c r="K53" s="126"/>
    </row>
    <row r="54" spans="1:11" hidden="1" x14ac:dyDescent="0.3">
      <c r="A54" s="96">
        <v>5</v>
      </c>
      <c r="B54" s="100">
        <f t="shared" si="7"/>
        <v>2014</v>
      </c>
      <c r="C54" s="98" t="s">
        <v>19</v>
      </c>
      <c r="D54" s="113">
        <v>75712694</v>
      </c>
      <c r="E54" s="114">
        <f t="shared" si="1"/>
        <v>70864455.115141496</v>
      </c>
      <c r="F54" s="115">
        <f t="shared" si="2"/>
        <v>71437.446979309665</v>
      </c>
      <c r="G54" s="101"/>
      <c r="H54" s="116">
        <f t="shared" si="9"/>
        <v>1.0447006106202219</v>
      </c>
      <c r="I54" s="117">
        <f t="shared" si="4"/>
        <v>1.0666285043121631</v>
      </c>
      <c r="J54" s="125">
        <f t="shared" si="6"/>
        <v>75453450.612360954</v>
      </c>
      <c r="K54" s="126"/>
    </row>
    <row r="55" spans="1:11" hidden="1" x14ac:dyDescent="0.3">
      <c r="A55" s="96">
        <v>6</v>
      </c>
      <c r="B55" s="100">
        <f t="shared" si="7"/>
        <v>2014</v>
      </c>
      <c r="C55" s="98" t="s">
        <v>98</v>
      </c>
      <c r="D55" s="113">
        <v>80063355</v>
      </c>
      <c r="E55" s="114">
        <f t="shared" si="1"/>
        <v>70936385.300299793</v>
      </c>
      <c r="F55" s="115">
        <f t="shared" si="2"/>
        <v>71439.283847956423</v>
      </c>
      <c r="G55" s="101"/>
      <c r="H55" s="116">
        <f t="shared" si="9"/>
        <v>1.1047319998520142</v>
      </c>
      <c r="I55" s="117">
        <f t="shared" si="4"/>
        <v>1.1286569703551317</v>
      </c>
      <c r="J55" s="125">
        <f t="shared" si="6"/>
        <v>80464235.834419146</v>
      </c>
      <c r="K55" s="126"/>
    </row>
    <row r="56" spans="1:11" hidden="1" x14ac:dyDescent="0.3">
      <c r="A56" s="96">
        <v>7</v>
      </c>
      <c r="B56" s="100">
        <f t="shared" si="7"/>
        <v>2014</v>
      </c>
      <c r="C56" s="98" t="s">
        <v>100</v>
      </c>
      <c r="D56" s="113">
        <v>84404540</v>
      </c>
      <c r="E56" s="114">
        <f t="shared" si="1"/>
        <v>71121747.564922839</v>
      </c>
      <c r="F56" s="115">
        <f t="shared" si="2"/>
        <v>71863.975013478877</v>
      </c>
      <c r="G56" s="101"/>
      <c r="H56" s="116">
        <f t="shared" si="9"/>
        <v>1.1646326371258027</v>
      </c>
      <c r="I56" s="117">
        <f t="shared" si="4"/>
        <v>1.1850289808121506</v>
      </c>
      <c r="J56" s="125">
        <f t="shared" si="6"/>
        <v>84365198.336163163</v>
      </c>
      <c r="K56" s="126"/>
    </row>
    <row r="57" spans="1:11" hidden="1" x14ac:dyDescent="0.3">
      <c r="A57" s="96">
        <v>8</v>
      </c>
      <c r="B57" s="100">
        <f t="shared" si="7"/>
        <v>2014</v>
      </c>
      <c r="C57" s="98" t="s">
        <v>102</v>
      </c>
      <c r="D57" s="113">
        <v>81957560</v>
      </c>
      <c r="E57" s="114">
        <f t="shared" si="1"/>
        <v>71266392.661309928</v>
      </c>
      <c r="F57" s="115">
        <f t="shared" si="2"/>
        <v>72135.294277194524</v>
      </c>
      <c r="G57" s="101"/>
      <c r="H57" s="116">
        <f t="shared" si="9"/>
        <v>1.1308686622212052</v>
      </c>
      <c r="I57" s="117">
        <f t="shared" si="4"/>
        <v>1.1489447723562156</v>
      </c>
      <c r="J57" s="125">
        <f t="shared" si="6"/>
        <v>82195935.115929872</v>
      </c>
      <c r="K57" s="126"/>
    </row>
    <row r="58" spans="1:11" hidden="1" x14ac:dyDescent="0.3">
      <c r="A58" s="96">
        <v>9</v>
      </c>
      <c r="B58" s="100">
        <f t="shared" si="7"/>
        <v>2014</v>
      </c>
      <c r="C58" s="98" t="s">
        <v>104</v>
      </c>
      <c r="D58" s="113">
        <v>69028870</v>
      </c>
      <c r="E58" s="114">
        <f t="shared" si="1"/>
        <v>71421093.93284604</v>
      </c>
      <c r="F58" s="115">
        <f t="shared" si="2"/>
        <v>72443.09030637161</v>
      </c>
      <c r="G58" s="101"/>
      <c r="H58" s="116">
        <f t="shared" si="9"/>
        <v>0.95247571879325699</v>
      </c>
      <c r="I58" s="117">
        <f t="shared" si="4"/>
        <v>0.96548575371657486</v>
      </c>
      <c r="J58" s="125">
        <f t="shared" si="6"/>
        <v>69262214.769976899</v>
      </c>
      <c r="K58" s="126"/>
    </row>
    <row r="59" spans="1:11" hidden="1" x14ac:dyDescent="0.3">
      <c r="A59" s="96">
        <v>10</v>
      </c>
      <c r="B59" s="100">
        <f t="shared" si="7"/>
        <v>2014</v>
      </c>
      <c r="C59" s="98" t="s">
        <v>106</v>
      </c>
      <c r="D59" s="113">
        <v>71887841</v>
      </c>
      <c r="E59" s="114">
        <f t="shared" si="1"/>
        <v>71702979.429046765</v>
      </c>
      <c r="F59" s="115">
        <f t="shared" si="2"/>
        <v>73223.866396181838</v>
      </c>
      <c r="G59" s="101"/>
      <c r="H59" s="116">
        <f t="shared" si="9"/>
        <v>0.99192443725314305</v>
      </c>
      <c r="I59" s="117">
        <f t="shared" si="4"/>
        <v>0.99992005604599088</v>
      </c>
      <c r="J59" s="125">
        <f t="shared" si="6"/>
        <v>71691797.727466494</v>
      </c>
      <c r="K59" s="126"/>
    </row>
    <row r="60" spans="1:11" hidden="1" x14ac:dyDescent="0.3">
      <c r="A60" s="96">
        <v>11</v>
      </c>
      <c r="B60" s="100">
        <f t="shared" si="7"/>
        <v>2014</v>
      </c>
      <c r="C60" s="98" t="s">
        <v>108</v>
      </c>
      <c r="D60" s="113">
        <v>65654285</v>
      </c>
      <c r="E60" s="114">
        <f t="shared" si="1"/>
        <v>71739435.01075758</v>
      </c>
      <c r="F60" s="115">
        <f t="shared" si="2"/>
        <v>73086.798654703787</v>
      </c>
      <c r="G60" s="101"/>
      <c r="H60" s="116">
        <f t="shared" si="9"/>
        <v>0.90591244355053691</v>
      </c>
      <c r="I60" s="117">
        <f t="shared" si="4"/>
        <v>0.91560727151533683</v>
      </c>
      <c r="J60" s="125">
        <f t="shared" si="6"/>
        <v>66462123.807823412</v>
      </c>
      <c r="K60" s="126"/>
    </row>
    <row r="61" spans="1:11" hidden="1" x14ac:dyDescent="0.3">
      <c r="A61" s="96">
        <v>12</v>
      </c>
      <c r="B61" s="100">
        <f t="shared" si="7"/>
        <v>2014</v>
      </c>
      <c r="C61" s="98" t="s">
        <v>109</v>
      </c>
      <c r="D61" s="113">
        <v>72233639</v>
      </c>
      <c r="E61" s="114">
        <f t="shared" si="1"/>
        <v>72010787.400644541</v>
      </c>
      <c r="F61" s="115">
        <f t="shared" si="2"/>
        <v>73825.908924208226</v>
      </c>
      <c r="G61" s="124">
        <f>AVERAGE(D50:D61)</f>
        <v>72473102.083333328</v>
      </c>
      <c r="H61" s="116">
        <f t="shared" si="9"/>
        <v>0.99669583505535642</v>
      </c>
      <c r="I61" s="117">
        <f t="shared" si="4"/>
        <v>1.000586635882615</v>
      </c>
      <c r="J61" s="125">
        <f t="shared" si="6"/>
        <v>72233643.017595202</v>
      </c>
      <c r="K61" s="126"/>
    </row>
    <row r="62" spans="1:11" x14ac:dyDescent="0.3">
      <c r="A62" s="96">
        <v>1</v>
      </c>
      <c r="B62" s="100">
        <f t="shared" si="7"/>
        <v>2015</v>
      </c>
      <c r="C62" s="98" t="s">
        <v>92</v>
      </c>
      <c r="D62" s="113">
        <v>66538437</v>
      </c>
      <c r="E62" s="114">
        <f t="shared" si="1"/>
        <v>72193098.974071026</v>
      </c>
      <c r="F62" s="115">
        <f t="shared" si="2"/>
        <v>74230.330428864152</v>
      </c>
      <c r="G62" s="101"/>
      <c r="H62" s="116">
        <f t="shared" ref="H62:H73" si="10">D62/$G$73</f>
        <v>0.87859392479579146</v>
      </c>
      <c r="I62" s="117">
        <f t="shared" si="4"/>
        <v>0.92041054569767178</v>
      </c>
      <c r="J62" s="125">
        <f t="shared" si="6"/>
        <v>66134845.309743211</v>
      </c>
      <c r="K62" s="126"/>
    </row>
    <row r="63" spans="1:11" x14ac:dyDescent="0.3">
      <c r="A63" s="96">
        <v>2</v>
      </c>
      <c r="B63" s="100">
        <f t="shared" si="7"/>
        <v>2015</v>
      </c>
      <c r="C63" s="98" t="s">
        <v>93</v>
      </c>
      <c r="D63" s="113">
        <v>60331319</v>
      </c>
      <c r="E63" s="114">
        <f t="shared" si="1"/>
        <v>72232712.588847071</v>
      </c>
      <c r="F63" s="115">
        <f t="shared" si="2"/>
        <v>74101.283477870311</v>
      </c>
      <c r="G63" s="101"/>
      <c r="H63" s="116">
        <f t="shared" si="10"/>
        <v>0.79663323543829112</v>
      </c>
      <c r="I63" s="117">
        <f t="shared" si="4"/>
        <v>0.83560250293341487</v>
      </c>
      <c r="J63" s="125">
        <f t="shared" si="6"/>
        <v>60510821.879440948</v>
      </c>
      <c r="K63" s="126"/>
    </row>
    <row r="64" spans="1:11" x14ac:dyDescent="0.3">
      <c r="A64" s="96">
        <v>3</v>
      </c>
      <c r="B64" s="100">
        <f t="shared" si="7"/>
        <v>2015</v>
      </c>
      <c r="C64" s="98" t="s">
        <v>94</v>
      </c>
      <c r="D64" s="113">
        <v>76270848</v>
      </c>
      <c r="E64" s="114">
        <f t="shared" si="1"/>
        <v>72303150.834521711</v>
      </c>
      <c r="F64" s="115">
        <f t="shared" si="2"/>
        <v>74087.628113663523</v>
      </c>
      <c r="G64" s="101"/>
      <c r="H64" s="116">
        <f t="shared" si="10"/>
        <v>1.0071036638841282</v>
      </c>
      <c r="I64" s="117">
        <f t="shared" si="4"/>
        <v>1.0549248024377484</v>
      </c>
      <c r="J64" s="125">
        <f t="shared" si="6"/>
        <v>76442878.341415733</v>
      </c>
      <c r="K64" s="126"/>
    </row>
    <row r="65" spans="1:11" x14ac:dyDescent="0.3">
      <c r="A65" s="96">
        <v>4</v>
      </c>
      <c r="B65" s="100">
        <f t="shared" si="7"/>
        <v>2015</v>
      </c>
      <c r="C65" s="98" t="s">
        <v>95</v>
      </c>
      <c r="D65" s="113">
        <v>73607027</v>
      </c>
      <c r="E65" s="114">
        <f t="shared" si="1"/>
        <v>72577722.50761947</v>
      </c>
      <c r="F65" s="115">
        <f t="shared" si="2"/>
        <v>74835.008511838372</v>
      </c>
      <c r="G65" s="101"/>
      <c r="H65" s="116">
        <f t="shared" si="10"/>
        <v>0.97192975459402198</v>
      </c>
      <c r="I65" s="117">
        <f t="shared" si="4"/>
        <v>1.0116380418720192</v>
      </c>
      <c r="J65" s="125">
        <f t="shared" si="6"/>
        <v>73012979.35301666</v>
      </c>
      <c r="K65" s="126"/>
    </row>
    <row r="66" spans="1:11" x14ac:dyDescent="0.3">
      <c r="A66" s="96">
        <v>5</v>
      </c>
      <c r="B66" s="100">
        <f t="shared" si="7"/>
        <v>2015</v>
      </c>
      <c r="C66" s="98" t="s">
        <v>19</v>
      </c>
      <c r="D66" s="113">
        <v>78501958</v>
      </c>
      <c r="E66" s="114">
        <f t="shared" si="1"/>
        <v>72885770.915361226</v>
      </c>
      <c r="F66" s="115">
        <f t="shared" si="2"/>
        <v>75704.400004762356</v>
      </c>
      <c r="G66" s="101"/>
      <c r="H66" s="116">
        <f t="shared" si="10"/>
        <v>1.0365639244482761</v>
      </c>
      <c r="I66" s="117">
        <f t="shared" si="4"/>
        <v>1.0739292262351103</v>
      </c>
      <c r="J66" s="125">
        <f t="shared" si="6"/>
        <v>77812573.370681211</v>
      </c>
      <c r="K66" s="126"/>
    </row>
    <row r="67" spans="1:11" x14ac:dyDescent="0.3">
      <c r="A67" s="96">
        <v>6</v>
      </c>
      <c r="B67" s="100">
        <f t="shared" si="7"/>
        <v>2015</v>
      </c>
      <c r="C67" s="98" t="s">
        <v>98</v>
      </c>
      <c r="D67" s="113">
        <v>83253406</v>
      </c>
      <c r="E67" s="114">
        <f t="shared" si="1"/>
        <v>73159204.200423196</v>
      </c>
      <c r="F67" s="115">
        <f t="shared" si="2"/>
        <v>76441.509498220796</v>
      </c>
      <c r="G67" s="101"/>
      <c r="H67" s="116">
        <f t="shared" si="10"/>
        <v>1.0993035007744094</v>
      </c>
      <c r="I67" s="117">
        <f t="shared" si="4"/>
        <v>1.1351823380240058</v>
      </c>
      <c r="J67" s="125">
        <f t="shared" si="6"/>
        <v>82775699.175841346</v>
      </c>
      <c r="K67" s="126"/>
    </row>
    <row r="68" spans="1:11" x14ac:dyDescent="0.3">
      <c r="A68" s="96">
        <v>7</v>
      </c>
      <c r="B68" s="100">
        <f t="shared" si="7"/>
        <v>2015</v>
      </c>
      <c r="C68" s="98" t="s">
        <v>100</v>
      </c>
      <c r="D68" s="113">
        <v>88951664</v>
      </c>
      <c r="E68" s="114">
        <f t="shared" si="1"/>
        <v>73686262.420510888</v>
      </c>
      <c r="F68" s="115">
        <f t="shared" si="2"/>
        <v>78121.354378701522</v>
      </c>
      <c r="G68" s="101"/>
      <c r="H68" s="116">
        <f t="shared" si="10"/>
        <v>1.1745450466604215</v>
      </c>
      <c r="I68" s="117">
        <f t="shared" si="4"/>
        <v>1.200531119220027</v>
      </c>
      <c r="J68" s="125">
        <f t="shared" si="6"/>
        <v>87329875.019302443</v>
      </c>
      <c r="K68" s="126"/>
    </row>
    <row r="69" spans="1:11" x14ac:dyDescent="0.3">
      <c r="A69" s="96">
        <v>8</v>
      </c>
      <c r="B69" s="100">
        <f>B57+1</f>
        <v>2015</v>
      </c>
      <c r="C69" s="98" t="s">
        <v>102</v>
      </c>
      <c r="D69" s="113">
        <v>85855967</v>
      </c>
      <c r="E69" s="114">
        <f t="shared" si="1"/>
        <v>74001514.712364346</v>
      </c>
      <c r="F69" s="115">
        <f t="shared" si="2"/>
        <v>79005.349982858039</v>
      </c>
      <c r="G69" s="101"/>
      <c r="H69" s="116">
        <f t="shared" si="10"/>
        <v>1.1336685142403924</v>
      </c>
      <c r="I69" s="117">
        <f t="shared" si="4"/>
        <v>1.1568204627772716</v>
      </c>
      <c r="J69" s="125">
        <f t="shared" si="6"/>
        <v>85379502.976296619</v>
      </c>
      <c r="K69" s="126"/>
    </row>
    <row r="70" spans="1:11" x14ac:dyDescent="0.3">
      <c r="A70" s="96">
        <v>9</v>
      </c>
      <c r="B70" s="100">
        <f t="shared" si="7"/>
        <v>2015</v>
      </c>
      <c r="C70" s="98" t="s">
        <v>104</v>
      </c>
      <c r="D70" s="113">
        <v>73017733</v>
      </c>
      <c r="E70" s="114">
        <f t="shared" si="1"/>
        <v>74462144.413727656</v>
      </c>
      <c r="F70" s="115">
        <f t="shared" si="2"/>
        <v>80427.999649122343</v>
      </c>
      <c r="G70" s="101"/>
      <c r="H70" s="116">
        <f t="shared" si="10"/>
        <v>0.96414853592309624</v>
      </c>
      <c r="I70" s="117">
        <f t="shared" si="4"/>
        <v>0.97607069087279785</v>
      </c>
      <c r="J70" s="125">
        <f t="shared" si="6"/>
        <v>72133915.06711787</v>
      </c>
      <c r="K70" s="126"/>
    </row>
    <row r="71" spans="1:11" x14ac:dyDescent="0.3">
      <c r="A71" s="96">
        <v>10</v>
      </c>
      <c r="B71" s="100">
        <f t="shared" si="7"/>
        <v>2015</v>
      </c>
      <c r="C71" s="98" t="s">
        <v>106</v>
      </c>
      <c r="D71" s="113">
        <v>76678106</v>
      </c>
      <c r="E71" s="114">
        <f t="shared" si="1"/>
        <v>75070736.964027137</v>
      </c>
      <c r="F71" s="115">
        <f t="shared" si="2"/>
        <v>82396.933547070264</v>
      </c>
      <c r="G71" s="101"/>
      <c r="H71" s="116">
        <f t="shared" si="10"/>
        <v>1.0124812233934459</v>
      </c>
      <c r="I71" s="117">
        <f t="shared" si="4"/>
        <v>1.0149689895417988</v>
      </c>
      <c r="J71" s="125">
        <f t="shared" si="6"/>
        <v>75260407.314647391</v>
      </c>
      <c r="K71" s="126"/>
    </row>
    <row r="72" spans="1:11" x14ac:dyDescent="0.3">
      <c r="A72" s="96">
        <v>11</v>
      </c>
      <c r="B72" s="100">
        <f t="shared" si="7"/>
        <v>2015</v>
      </c>
      <c r="C72" s="98" t="s">
        <v>108</v>
      </c>
      <c r="D72" s="113">
        <v>70460064</v>
      </c>
      <c r="E72" s="114">
        <f t="shared" si="1"/>
        <v>75597366.54498893</v>
      </c>
      <c r="F72" s="115">
        <f t="shared" si="2"/>
        <v>84052.979408143248</v>
      </c>
      <c r="G72" s="101"/>
      <c r="H72" s="116">
        <f t="shared" si="10"/>
        <v>0.93037629019032486</v>
      </c>
      <c r="I72" s="117">
        <f t="shared" si="4"/>
        <v>0.92711673057760269</v>
      </c>
      <c r="J72" s="125">
        <f t="shared" si="6"/>
        <v>69565188.188847318</v>
      </c>
      <c r="K72" s="126"/>
    </row>
    <row r="73" spans="1:11" x14ac:dyDescent="0.3">
      <c r="A73" s="96">
        <v>12</v>
      </c>
      <c r="B73" s="100">
        <f t="shared" si="7"/>
        <v>2015</v>
      </c>
      <c r="C73" s="98" t="s">
        <v>109</v>
      </c>
      <c r="D73" s="113">
        <v>75327877</v>
      </c>
      <c r="E73" s="127">
        <f t="shared" si="1"/>
        <v>75583339.455678031</v>
      </c>
      <c r="F73" s="128">
        <f t="shared" si="2"/>
        <v>83687.348712603023</v>
      </c>
      <c r="G73" s="124">
        <f>AVERAGE(D62:D73)</f>
        <v>75732867.166666672</v>
      </c>
      <c r="H73" s="116">
        <f t="shared" si="10"/>
        <v>0.99465238565740022</v>
      </c>
      <c r="I73" s="129">
        <f t="shared" si="4"/>
        <v>0.99780915385557756</v>
      </c>
      <c r="J73" s="125">
        <f t="shared" si="6"/>
        <v>76650942.127658278</v>
      </c>
      <c r="K73" s="126"/>
    </row>
    <row r="74" spans="1:11" x14ac:dyDescent="0.3">
      <c r="A74" s="130">
        <v>1</v>
      </c>
      <c r="B74" s="131">
        <f t="shared" si="7"/>
        <v>2016</v>
      </c>
      <c r="C74" s="132" t="s">
        <v>92</v>
      </c>
      <c r="D74" s="133"/>
      <c r="E74" s="134"/>
      <c r="F74" s="134"/>
      <c r="G74" s="135"/>
      <c r="H74" s="136"/>
      <c r="I74" s="137"/>
      <c r="J74" s="138">
        <f t="shared" ref="J74:J85" si="11">(E$73+A74*F$73)*I62</f>
        <v>69644729.432349548</v>
      </c>
      <c r="K74" s="139"/>
    </row>
    <row r="75" spans="1:11" x14ac:dyDescent="0.3">
      <c r="A75" s="96">
        <v>2</v>
      </c>
      <c r="B75" s="100">
        <f t="shared" si="7"/>
        <v>2016</v>
      </c>
      <c r="C75" s="98" t="s">
        <v>93</v>
      </c>
      <c r="G75" s="101"/>
      <c r="H75" s="102"/>
      <c r="I75" s="101"/>
      <c r="J75" s="140">
        <f t="shared" si="11"/>
        <v>63297486.345326714</v>
      </c>
      <c r="K75" s="139"/>
    </row>
    <row r="76" spans="1:11" x14ac:dyDescent="0.3">
      <c r="A76" s="96">
        <v>3</v>
      </c>
      <c r="B76" s="100">
        <f t="shared" si="7"/>
        <v>2016</v>
      </c>
      <c r="C76" s="98" t="s">
        <v>94</v>
      </c>
      <c r="G76" s="101"/>
      <c r="H76" s="102"/>
      <c r="I76" s="101"/>
      <c r="J76" s="140">
        <f t="shared" si="11"/>
        <v>79999591.022287965</v>
      </c>
      <c r="K76" s="139"/>
    </row>
    <row r="77" spans="1:11" x14ac:dyDescent="0.3">
      <c r="A77" s="96">
        <v>4</v>
      </c>
      <c r="B77" s="100">
        <f t="shared" si="7"/>
        <v>2016</v>
      </c>
      <c r="C77" s="98" t="s">
        <v>95</v>
      </c>
      <c r="G77" s="101"/>
      <c r="H77" s="102"/>
      <c r="I77" s="101"/>
      <c r="J77" s="140">
        <f t="shared" si="11"/>
        <v>76801626.747414574</v>
      </c>
      <c r="K77" s="139"/>
    </row>
    <row r="78" spans="1:11" x14ac:dyDescent="0.3">
      <c r="A78" s="96">
        <v>5</v>
      </c>
      <c r="B78" s="100">
        <f t="shared" si="7"/>
        <v>2016</v>
      </c>
      <c r="C78" s="98" t="s">
        <v>19</v>
      </c>
      <c r="G78" s="101"/>
      <c r="H78" s="102"/>
      <c r="I78" s="101"/>
      <c r="J78" s="140">
        <f t="shared" si="11"/>
        <v>81620528.706144959</v>
      </c>
      <c r="K78" s="139"/>
    </row>
    <row r="79" spans="1:11" x14ac:dyDescent="0.3">
      <c r="A79" s="96">
        <v>6</v>
      </c>
      <c r="B79" s="100">
        <f t="shared" si="7"/>
        <v>2016</v>
      </c>
      <c r="C79" s="98" t="s">
        <v>98</v>
      </c>
      <c r="G79" s="101"/>
      <c r="H79" s="102"/>
      <c r="I79" s="101"/>
      <c r="J79" s="140">
        <f t="shared" si="11"/>
        <v>86370874.400006294</v>
      </c>
      <c r="K79" s="139"/>
    </row>
    <row r="80" spans="1:11" x14ac:dyDescent="0.3">
      <c r="A80" s="96">
        <v>7</v>
      </c>
      <c r="B80" s="100">
        <f t="shared" si="7"/>
        <v>2016</v>
      </c>
      <c r="C80" s="98" t="s">
        <v>100</v>
      </c>
      <c r="G80" s="101"/>
      <c r="H80" s="102"/>
      <c r="I80" s="101"/>
      <c r="J80" s="140">
        <f t="shared" si="11"/>
        <v>91443435.976013869</v>
      </c>
      <c r="K80" s="139"/>
    </row>
    <row r="81" spans="1:22" x14ac:dyDescent="0.3">
      <c r="A81" s="96">
        <v>8</v>
      </c>
      <c r="B81" s="100">
        <f t="shared" si="7"/>
        <v>2016</v>
      </c>
      <c r="C81" s="98" t="s">
        <v>102</v>
      </c>
      <c r="G81" s="101"/>
      <c r="H81" s="102"/>
      <c r="I81" s="101"/>
      <c r="J81" s="140">
        <f t="shared" si="11"/>
        <v>88210843.627099603</v>
      </c>
      <c r="K81" s="139"/>
    </row>
    <row r="82" spans="1:22" x14ac:dyDescent="0.3">
      <c r="A82" s="96">
        <v>9</v>
      </c>
      <c r="B82" s="100">
        <f t="shared" si="7"/>
        <v>2016</v>
      </c>
      <c r="C82" s="98" t="s">
        <v>104</v>
      </c>
      <c r="G82" s="101"/>
      <c r="H82" s="102"/>
      <c r="I82" s="101"/>
      <c r="J82" s="140">
        <f t="shared" si="11"/>
        <v>74509845.275453866</v>
      </c>
      <c r="K82" s="139"/>
    </row>
    <row r="83" spans="1:22" x14ac:dyDescent="0.3">
      <c r="A83" s="96">
        <v>10</v>
      </c>
      <c r="B83" s="100">
        <f t="shared" si="7"/>
        <v>2016</v>
      </c>
      <c r="C83" s="98" t="s">
        <v>106</v>
      </c>
      <c r="G83" s="101"/>
      <c r="H83" s="102"/>
      <c r="I83" s="101"/>
      <c r="J83" s="140">
        <f t="shared" si="11"/>
        <v>77564146.311126947</v>
      </c>
      <c r="K83" s="139"/>
      <c r="V83" s="99" t="s">
        <v>126</v>
      </c>
    </row>
    <row r="84" spans="1:22" x14ac:dyDescent="0.3">
      <c r="A84" s="96">
        <v>11</v>
      </c>
      <c r="B84" s="100">
        <f t="shared" si="7"/>
        <v>2016</v>
      </c>
      <c r="C84" s="98" t="s">
        <v>108</v>
      </c>
      <c r="G84" s="101"/>
      <c r="H84" s="102"/>
      <c r="I84" s="101"/>
      <c r="J84" s="140">
        <f t="shared" si="11"/>
        <v>70928045.914705828</v>
      </c>
      <c r="K84" s="139"/>
    </row>
    <row r="85" spans="1:22" x14ac:dyDescent="0.3">
      <c r="A85" s="141">
        <v>12</v>
      </c>
      <c r="B85" s="142">
        <f t="shared" si="7"/>
        <v>2016</v>
      </c>
      <c r="C85" s="143" t="s">
        <v>109</v>
      </c>
      <c r="D85" s="144"/>
      <c r="E85" s="144"/>
      <c r="F85" s="144"/>
      <c r="G85" s="145"/>
      <c r="H85" s="146"/>
      <c r="I85" s="145"/>
      <c r="J85" s="147">
        <f t="shared" si="11"/>
        <v>76419796.019137055</v>
      </c>
      <c r="K85" s="13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9.1.1-6</vt:lpstr>
      <vt:lpstr>9.1.7-8</vt:lpstr>
      <vt:lpstr>9.1.9-15</vt:lpstr>
      <vt:lpstr>9.1.14</vt:lpstr>
      <vt:lpstr>9.2.1-7</vt:lpstr>
      <vt:lpstr>9.2.2</vt:lpstr>
      <vt:lpstr>9.3.1-3</vt:lpstr>
      <vt:lpstr>9.4.1-5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Branko</dc:creator>
  <cp:lastModifiedBy>branko</cp:lastModifiedBy>
  <dcterms:created xsi:type="dcterms:W3CDTF">2010-02-05T14:26:52Z</dcterms:created>
  <dcterms:modified xsi:type="dcterms:W3CDTF">2016-10-18T11:03:09Z</dcterms:modified>
</cp:coreProperties>
</file>